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nna Akbalyan\Desktop\ԿԱՅՔ\Ashtarak\"/>
    </mc:Choice>
  </mc:AlternateContent>
  <bookViews>
    <workbookView xWindow="0" yWindow="0" windowWidth="23040" windowHeight="8328"/>
  </bookViews>
  <sheets>
    <sheet name="Հաշվետվության հավելված" sheetId="1" r:id="rId1"/>
  </sheets>
  <definedNames>
    <definedName name="_xlnm._FilterDatabase" localSheetId="0" hidden="1">'Հաշվետվության հավելված'!$A$11:$AE$184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X184" i="1" l="1"/>
  <c r="N184" i="1"/>
  <c r="X183" i="1"/>
  <c r="N183" i="1"/>
  <c r="X182" i="1"/>
  <c r="N182" i="1"/>
  <c r="X181" i="1"/>
  <c r="N181" i="1"/>
  <c r="X180" i="1"/>
  <c r="N180" i="1"/>
  <c r="X179" i="1"/>
  <c r="N179" i="1"/>
  <c r="AC178" i="1"/>
  <c r="AB178" i="1"/>
  <c r="Z178" i="1"/>
  <c r="Y178" i="1"/>
  <c r="X177" i="1"/>
  <c r="N177" i="1"/>
  <c r="N176" i="1"/>
  <c r="AC175" i="1"/>
  <c r="AD175" i="1" s="1"/>
  <c r="AB175" i="1"/>
  <c r="Z175" i="1"/>
  <c r="Y175" i="1"/>
  <c r="AC174" i="1"/>
  <c r="Z174" i="1"/>
  <c r="Y174" i="1"/>
  <c r="AB174" i="1" s="1"/>
  <c r="X174" i="1"/>
  <c r="X173" i="1"/>
  <c r="N173" i="1"/>
  <c r="N172" i="1" s="1"/>
  <c r="X172" i="1"/>
  <c r="AC171" i="1"/>
  <c r="AB171" i="1"/>
  <c r="Z171" i="1"/>
  <c r="Y171" i="1"/>
  <c r="N170" i="1"/>
  <c r="N169" i="1"/>
  <c r="X168" i="1"/>
  <c r="N168" i="1"/>
  <c r="AC167" i="1"/>
  <c r="AB167" i="1"/>
  <c r="Z167" i="1"/>
  <c r="Y167" i="1"/>
  <c r="N166" i="1"/>
  <c r="X165" i="1"/>
  <c r="N165" i="1"/>
  <c r="AC164" i="1"/>
  <c r="AB164" i="1"/>
  <c r="Z164" i="1"/>
  <c r="Y164" i="1"/>
  <c r="N163" i="1"/>
  <c r="X162" i="1"/>
  <c r="N162" i="1"/>
  <c r="AC161" i="1"/>
  <c r="AB161" i="1"/>
  <c r="Z161" i="1"/>
  <c r="Y161" i="1"/>
  <c r="X160" i="1"/>
  <c r="N160" i="1"/>
  <c r="X159" i="1"/>
  <c r="N159" i="1"/>
  <c r="X158" i="1"/>
  <c r="N158" i="1"/>
  <c r="N157" i="1"/>
  <c r="X156" i="1"/>
  <c r="N156" i="1"/>
  <c r="N155" i="1"/>
  <c r="AC154" i="1"/>
  <c r="AB154" i="1"/>
  <c r="Z154" i="1"/>
  <c r="Y154" i="1"/>
  <c r="X153" i="1"/>
  <c r="N153" i="1"/>
  <c r="N152" i="1" s="1"/>
  <c r="X152" i="1"/>
  <c r="AC151" i="1"/>
  <c r="AB151" i="1"/>
  <c r="Z151" i="1"/>
  <c r="AA151" i="1" s="1"/>
  <c r="Y151" i="1"/>
  <c r="AC150" i="1"/>
  <c r="Z150" i="1"/>
  <c r="Y150" i="1"/>
  <c r="AB150" i="1" s="1"/>
  <c r="N150" i="1"/>
  <c r="N149" i="1"/>
  <c r="N148" i="1"/>
  <c r="N147" i="1"/>
  <c r="N146" i="1"/>
  <c r="X145" i="1"/>
  <c r="N145" i="1"/>
  <c r="X144" i="1"/>
  <c r="N144" i="1"/>
  <c r="X143" i="1"/>
  <c r="N143" i="1"/>
  <c r="AC142" i="1"/>
  <c r="AB142" i="1"/>
  <c r="Z142" i="1"/>
  <c r="Y142" i="1"/>
  <c r="X141" i="1"/>
  <c r="N141" i="1"/>
  <c r="X140" i="1"/>
  <c r="N140" i="1"/>
  <c r="X139" i="1"/>
  <c r="N139" i="1"/>
  <c r="AC138" i="1"/>
  <c r="AB138" i="1"/>
  <c r="Z138" i="1"/>
  <c r="Y138" i="1"/>
  <c r="AC137" i="1"/>
  <c r="Z137" i="1"/>
  <c r="Y137" i="1"/>
  <c r="AB137" i="1" s="1"/>
  <c r="X137" i="1"/>
  <c r="N137" i="1"/>
  <c r="Z134" i="1"/>
  <c r="Y134" i="1"/>
  <c r="N134" i="1"/>
  <c r="AC133" i="1"/>
  <c r="Z133" i="1"/>
  <c r="Y133" i="1"/>
  <c r="AB133" i="1" s="1"/>
  <c r="X133" i="1"/>
  <c r="N133" i="1"/>
  <c r="X132" i="1"/>
  <c r="N132" i="1"/>
  <c r="N131" i="1"/>
  <c r="N130" i="1"/>
  <c r="X129" i="1"/>
  <c r="N129" i="1"/>
  <c r="AC128" i="1"/>
  <c r="AD128" i="1" s="1"/>
  <c r="AB128" i="1"/>
  <c r="Z128" i="1"/>
  <c r="Y128" i="1"/>
  <c r="N127" i="1"/>
  <c r="X126" i="1"/>
  <c r="N126" i="1"/>
  <c r="AC125" i="1"/>
  <c r="AB125" i="1"/>
  <c r="AD125" i="1" s="1"/>
  <c r="Z125" i="1"/>
  <c r="Y125" i="1"/>
  <c r="N124" i="1"/>
  <c r="X123" i="1"/>
  <c r="N123" i="1"/>
  <c r="AC122" i="1"/>
  <c r="AB122" i="1"/>
  <c r="Z122" i="1"/>
  <c r="Y122" i="1"/>
  <c r="N121" i="1"/>
  <c r="X120" i="1"/>
  <c r="N120" i="1"/>
  <c r="X119" i="1"/>
  <c r="N119" i="1"/>
  <c r="AC118" i="1"/>
  <c r="AB118" i="1"/>
  <c r="Z118" i="1"/>
  <c r="Y118" i="1"/>
  <c r="AC117" i="1"/>
  <c r="Z117" i="1"/>
  <c r="Y117" i="1"/>
  <c r="AB117" i="1" s="1"/>
  <c r="X117" i="1"/>
  <c r="N117" i="1"/>
  <c r="AC116" i="1"/>
  <c r="Z116" i="1"/>
  <c r="Y116" i="1"/>
  <c r="AB116" i="1" s="1"/>
  <c r="X116" i="1"/>
  <c r="N116" i="1"/>
  <c r="X115" i="1"/>
  <c r="N115" i="1"/>
  <c r="X114" i="1"/>
  <c r="N114" i="1"/>
  <c r="N113" i="1"/>
  <c r="N112" i="1"/>
  <c r="AC111" i="1"/>
  <c r="AB111" i="1"/>
  <c r="Z111" i="1"/>
  <c r="Y111" i="1"/>
  <c r="N110" i="1"/>
  <c r="N109" i="1"/>
  <c r="N108" i="1"/>
  <c r="N107" i="1"/>
  <c r="X107" i="1" s="1"/>
  <c r="N106" i="1"/>
  <c r="N105" i="1"/>
  <c r="X105" i="1" s="1"/>
  <c r="N104" i="1"/>
  <c r="X104" i="1" s="1"/>
  <c r="AC103" i="1"/>
  <c r="AB103" i="1"/>
  <c r="Z103" i="1"/>
  <c r="Y103" i="1"/>
  <c r="AC102" i="1"/>
  <c r="Z102" i="1"/>
  <c r="Y102" i="1"/>
  <c r="AB102" i="1" s="1"/>
  <c r="X102" i="1"/>
  <c r="N102" i="1"/>
  <c r="X101" i="1"/>
  <c r="N100" i="1"/>
  <c r="Z99" i="1"/>
  <c r="Y99" i="1"/>
  <c r="X98" i="1"/>
  <c r="N98" i="1"/>
  <c r="N97" i="1"/>
  <c r="Z96" i="1"/>
  <c r="Y96" i="1"/>
  <c r="X95" i="1"/>
  <c r="N95" i="1"/>
  <c r="N94" i="1"/>
  <c r="N93" i="1"/>
  <c r="AC92" i="1"/>
  <c r="AB92" i="1"/>
  <c r="Z92" i="1"/>
  <c r="Y92" i="1"/>
  <c r="AA92" i="1" s="1"/>
  <c r="X91" i="1"/>
  <c r="N91" i="1"/>
  <c r="X90" i="1"/>
  <c r="N90" i="1"/>
  <c r="X89" i="1"/>
  <c r="N89" i="1"/>
  <c r="AC88" i="1"/>
  <c r="AB88" i="1"/>
  <c r="AD88" i="1" s="1"/>
  <c r="Z88" i="1"/>
  <c r="Y88" i="1"/>
  <c r="N87" i="1"/>
  <c r="X86" i="1"/>
  <c r="N86" i="1"/>
  <c r="X85" i="1"/>
  <c r="N85" i="1"/>
  <c r="AC84" i="1"/>
  <c r="AB84" i="1"/>
  <c r="Z84" i="1"/>
  <c r="Y84" i="1"/>
  <c r="AA84" i="1" s="1"/>
  <c r="X83" i="1"/>
  <c r="N83" i="1"/>
  <c r="X82" i="1"/>
  <c r="N82" i="1"/>
  <c r="X81" i="1"/>
  <c r="N81" i="1"/>
  <c r="X80" i="1"/>
  <c r="N80" i="1"/>
  <c r="N79" i="1"/>
  <c r="N78" i="1"/>
  <c r="AC77" i="1"/>
  <c r="AB77" i="1"/>
  <c r="AD77" i="1" s="1"/>
  <c r="Z77" i="1"/>
  <c r="Y77" i="1"/>
  <c r="AC76" i="1"/>
  <c r="Z76" i="1"/>
  <c r="Y76" i="1"/>
  <c r="AB76" i="1" s="1"/>
  <c r="X76" i="1"/>
  <c r="N76" i="1"/>
  <c r="Z75" i="1"/>
  <c r="AA75" i="1" s="1"/>
  <c r="Y75" i="1"/>
  <c r="N75" i="1"/>
  <c r="AC74" i="1"/>
  <c r="Z74" i="1"/>
  <c r="Y74" i="1"/>
  <c r="AB74" i="1" s="1"/>
  <c r="AD74" i="1" s="1"/>
  <c r="X74" i="1"/>
  <c r="N74" i="1"/>
  <c r="AC73" i="1"/>
  <c r="Z73" i="1"/>
  <c r="Y73" i="1"/>
  <c r="AB73" i="1" s="1"/>
  <c r="X73" i="1"/>
  <c r="N73" i="1"/>
  <c r="AC72" i="1"/>
  <c r="Z72" i="1"/>
  <c r="AA72" i="1" s="1"/>
  <c r="Y72" i="1"/>
  <c r="AB72" i="1" s="1"/>
  <c r="X72" i="1"/>
  <c r="N72" i="1"/>
  <c r="X70" i="1"/>
  <c r="AC69" i="1"/>
  <c r="AB69" i="1"/>
  <c r="Z69" i="1"/>
  <c r="Y69" i="1"/>
  <c r="N69" i="1"/>
  <c r="AC68" i="1"/>
  <c r="Z68" i="1"/>
  <c r="Y68" i="1"/>
  <c r="AB68" i="1" s="1"/>
  <c r="X68" i="1"/>
  <c r="N68" i="1"/>
  <c r="X66" i="1"/>
  <c r="X65" i="1"/>
  <c r="X64" i="1"/>
  <c r="AC63" i="1"/>
  <c r="AB63" i="1"/>
  <c r="Z63" i="1"/>
  <c r="Y63" i="1"/>
  <c r="N63" i="1"/>
  <c r="AC62" i="1"/>
  <c r="Z62" i="1"/>
  <c r="Y62" i="1"/>
  <c r="AB62" i="1" s="1"/>
  <c r="X62" i="1"/>
  <c r="N62" i="1"/>
  <c r="AC46" i="1"/>
  <c r="AB46" i="1"/>
  <c r="Z46" i="1"/>
  <c r="Y46" i="1"/>
  <c r="N46" i="1"/>
  <c r="AC45" i="1"/>
  <c r="AD45" i="1" s="1"/>
  <c r="Z45" i="1"/>
  <c r="Y45" i="1"/>
  <c r="AB45" i="1" s="1"/>
  <c r="X45" i="1"/>
  <c r="N45" i="1"/>
  <c r="AC44" i="1"/>
  <c r="Z44" i="1"/>
  <c r="Y44" i="1"/>
  <c r="AB44" i="1" s="1"/>
  <c r="X44" i="1"/>
  <c r="N44" i="1"/>
  <c r="X42" i="1"/>
  <c r="AC41" i="1"/>
  <c r="AB41" i="1"/>
  <c r="Z41" i="1"/>
  <c r="Y41" i="1"/>
  <c r="N41" i="1"/>
  <c r="AC40" i="1"/>
  <c r="Z40" i="1"/>
  <c r="Y40" i="1"/>
  <c r="AB40" i="1" s="1"/>
  <c r="X40" i="1"/>
  <c r="N40" i="1"/>
  <c r="AC39" i="1"/>
  <c r="Z39" i="1"/>
  <c r="AA39" i="1" s="1"/>
  <c r="Y39" i="1"/>
  <c r="AB39" i="1" s="1"/>
  <c r="X39" i="1"/>
  <c r="N39" i="1"/>
  <c r="AC38" i="1"/>
  <c r="Z38" i="1"/>
  <c r="Y38" i="1"/>
  <c r="AA38" i="1" s="1"/>
  <c r="N38" i="1"/>
  <c r="AC37" i="1"/>
  <c r="Z37" i="1"/>
  <c r="Y37" i="1"/>
  <c r="AB37" i="1" s="1"/>
  <c r="N37" i="1"/>
  <c r="AC36" i="1"/>
  <c r="Z36" i="1"/>
  <c r="Y36" i="1"/>
  <c r="AB36" i="1" s="1"/>
  <c r="X36" i="1"/>
  <c r="N36" i="1"/>
  <c r="AC35" i="1"/>
  <c r="Z35" i="1"/>
  <c r="Y35" i="1"/>
  <c r="AB35" i="1" s="1"/>
  <c r="X35" i="1"/>
  <c r="N35" i="1"/>
  <c r="Z34" i="1"/>
  <c r="Y34" i="1"/>
  <c r="N34" i="1"/>
  <c r="AB31" i="1"/>
  <c r="AD31" i="1" s="1"/>
  <c r="Z31" i="1"/>
  <c r="Y31" i="1"/>
  <c r="N31" i="1"/>
  <c r="X32" i="1" s="1"/>
  <c r="AC30" i="1"/>
  <c r="Z30" i="1"/>
  <c r="Y30" i="1"/>
  <c r="AB30" i="1" s="1"/>
  <c r="X30" i="1"/>
  <c r="N30" i="1"/>
  <c r="AC29" i="1"/>
  <c r="Z29" i="1"/>
  <c r="Y29" i="1"/>
  <c r="AB29" i="1" s="1"/>
  <c r="X29" i="1"/>
  <c r="N29" i="1"/>
  <c r="AC28" i="1"/>
  <c r="Z28" i="1"/>
  <c r="Y28" i="1"/>
  <c r="AB28" i="1" s="1"/>
  <c r="AD28" i="1" s="1"/>
  <c r="X28" i="1"/>
  <c r="N28" i="1"/>
  <c r="AC27" i="1"/>
  <c r="Z27" i="1"/>
  <c r="Y27" i="1"/>
  <c r="AB27" i="1" s="1"/>
  <c r="X27" i="1"/>
  <c r="N27" i="1"/>
  <c r="AC22" i="1"/>
  <c r="AB22" i="1"/>
  <c r="Z22" i="1"/>
  <c r="Y22" i="1"/>
  <c r="N22" i="1"/>
  <c r="X22" i="1" s="1"/>
  <c r="AC19" i="1"/>
  <c r="AB19" i="1"/>
  <c r="Z19" i="1"/>
  <c r="Y19" i="1"/>
  <c r="N19" i="1"/>
  <c r="X19" i="1" s="1"/>
  <c r="AC18" i="1"/>
  <c r="Z18" i="1"/>
  <c r="Y18" i="1"/>
  <c r="AB18" i="1" s="1"/>
  <c r="N18" i="1"/>
  <c r="AC17" i="1"/>
  <c r="Z17" i="1"/>
  <c r="Y17" i="1"/>
  <c r="AB17" i="1" s="1"/>
  <c r="X17" i="1"/>
  <c r="N17" i="1"/>
  <c r="AC16" i="1"/>
  <c r="Z16" i="1"/>
  <c r="Y16" i="1"/>
  <c r="AB16" i="1" s="1"/>
  <c r="X16" i="1"/>
  <c r="N16" i="1"/>
  <c r="AC15" i="1"/>
  <c r="Z15" i="1"/>
  <c r="Y15" i="1"/>
  <c r="AB15" i="1" s="1"/>
  <c r="X15" i="1"/>
  <c r="N15" i="1"/>
  <c r="Z14" i="1"/>
  <c r="Y14" i="1"/>
  <c r="N14" i="1"/>
  <c r="AC13" i="1"/>
  <c r="Z13" i="1"/>
  <c r="Y13" i="1"/>
  <c r="AB13" i="1" s="1"/>
  <c r="N13" i="1"/>
  <c r="X13" i="1" s="1"/>
  <c r="AC12" i="1"/>
  <c r="Z12" i="1"/>
  <c r="Y12" i="1"/>
  <c r="AB12" i="1" s="1"/>
  <c r="N12" i="1"/>
  <c r="X12" i="1" s="1"/>
  <c r="AA14" i="1" l="1"/>
  <c r="AA30" i="1"/>
  <c r="AA122" i="1"/>
  <c r="AD122" i="1"/>
  <c r="AA133" i="1"/>
  <c r="AA150" i="1"/>
  <c r="AD171" i="1"/>
  <c r="AA117" i="1"/>
  <c r="AA28" i="1"/>
  <c r="AE28" i="1" s="1"/>
  <c r="AA128" i="1"/>
  <c r="AA45" i="1"/>
  <c r="AE45" i="1" s="1"/>
  <c r="AD167" i="1"/>
  <c r="AA178" i="1"/>
  <c r="AA13" i="1"/>
  <c r="AA46" i="1"/>
  <c r="AD69" i="1"/>
  <c r="AE69" i="1" s="1"/>
  <c r="AA76" i="1"/>
  <c r="AD103" i="1"/>
  <c r="AE103" i="1" s="1"/>
  <c r="AA12" i="1"/>
  <c r="AD133" i="1"/>
  <c r="AE133" i="1" s="1"/>
  <c r="N151" i="1"/>
  <c r="AD151" i="1"/>
  <c r="AE151" i="1" s="1"/>
  <c r="AD40" i="1"/>
  <c r="AA41" i="1"/>
  <c r="AA99" i="1"/>
  <c r="AA111" i="1"/>
  <c r="AD116" i="1"/>
  <c r="AE122" i="1"/>
  <c r="AD138" i="1"/>
  <c r="AA31" i="1"/>
  <c r="AE31" i="1" s="1"/>
  <c r="AA34" i="1"/>
  <c r="AA35" i="1"/>
  <c r="AE35" i="1" s="1"/>
  <c r="AD72" i="1"/>
  <c r="AE72" i="1" s="1"/>
  <c r="AD13" i="1"/>
  <c r="AE13" i="1" s="1"/>
  <c r="AA22" i="1"/>
  <c r="AD39" i="1"/>
  <c r="AE39" i="1" s="1"/>
  <c r="AA40" i="1"/>
  <c r="AA63" i="1"/>
  <c r="AA68" i="1"/>
  <c r="AA74" i="1"/>
  <c r="AE74" i="1" s="1"/>
  <c r="AA77" i="1"/>
  <c r="AE77" i="1" s="1"/>
  <c r="AA88" i="1"/>
  <c r="AE88" i="1" s="1"/>
  <c r="AA125" i="1"/>
  <c r="AE125" i="1" s="1"/>
  <c r="AD164" i="1"/>
  <c r="AA17" i="1"/>
  <c r="AE128" i="1"/>
  <c r="AD15" i="1"/>
  <c r="AD27" i="1"/>
  <c r="AA15" i="1"/>
  <c r="AA18" i="1"/>
  <c r="AA19" i="1"/>
  <c r="AD22" i="1"/>
  <c r="AA27" i="1"/>
  <c r="AD35" i="1"/>
  <c r="AD41" i="1"/>
  <c r="AA62" i="1"/>
  <c r="AD68" i="1"/>
  <c r="AE68" i="1" s="1"/>
  <c r="AA69" i="1"/>
  <c r="AD111" i="1"/>
  <c r="AD118" i="1"/>
  <c r="AA134" i="1"/>
  <c r="AA138" i="1"/>
  <c r="AD142" i="1"/>
  <c r="AA161" i="1"/>
  <c r="AD178" i="1"/>
  <c r="AE178" i="1" s="1"/>
  <c r="AE138" i="1"/>
  <c r="AD12" i="1"/>
  <c r="AE12" i="1" s="1"/>
  <c r="AA16" i="1"/>
  <c r="AD17" i="1"/>
  <c r="AE17" i="1" s="1"/>
  <c r="AD19" i="1"/>
  <c r="AE19" i="1" s="1"/>
  <c r="AA29" i="1"/>
  <c r="AD30" i="1"/>
  <c r="AE30" i="1" s="1"/>
  <c r="AD36" i="1"/>
  <c r="AD62" i="1"/>
  <c r="AD84" i="1"/>
  <c r="AE84" i="1" s="1"/>
  <c r="AD92" i="1"/>
  <c r="AE92" i="1" s="1"/>
  <c r="AA103" i="1"/>
  <c r="AD150" i="1"/>
  <c r="AE150" i="1" s="1"/>
  <c r="AA154" i="1"/>
  <c r="AD161" i="1"/>
  <c r="AE161" i="1" s="1"/>
  <c r="AA175" i="1"/>
  <c r="AE175" i="1" s="1"/>
  <c r="AD16" i="1"/>
  <c r="AD29" i="1"/>
  <c r="AA36" i="1"/>
  <c r="AA37" i="1"/>
  <c r="AD44" i="1"/>
  <c r="AD46" i="1"/>
  <c r="AE46" i="1" s="1"/>
  <c r="AD63" i="1"/>
  <c r="AA116" i="1"/>
  <c r="AE116" i="1" s="1"/>
  <c r="AA118" i="1"/>
  <c r="AD137" i="1"/>
  <c r="AA142" i="1"/>
  <c r="AE142" i="1" s="1"/>
  <c r="AA164" i="1"/>
  <c r="AA167" i="1"/>
  <c r="AA171" i="1"/>
  <c r="AA174" i="1"/>
  <c r="AB38" i="1"/>
  <c r="AA44" i="1"/>
  <c r="X87" i="1"/>
  <c r="AA96" i="1"/>
  <c r="AA137" i="1"/>
  <c r="AE137" i="1" s="1"/>
  <c r="AD154" i="1"/>
  <c r="AE154" i="1" s="1"/>
  <c r="AD117" i="1"/>
  <c r="AD76" i="1"/>
  <c r="AE76" i="1" s="1"/>
  <c r="AD73" i="1"/>
  <c r="AD102" i="1"/>
  <c r="AD174" i="1"/>
  <c r="AA73" i="1"/>
  <c r="AA102" i="1"/>
  <c r="AE27" i="1" l="1"/>
  <c r="AE22" i="1"/>
  <c r="AE117" i="1"/>
  <c r="AE171" i="1"/>
  <c r="AE29" i="1"/>
  <c r="AE44" i="1"/>
  <c r="AE167" i="1"/>
  <c r="AE16" i="1"/>
  <c r="AE118" i="1"/>
  <c r="AE41" i="1"/>
  <c r="AE164" i="1"/>
  <c r="AE40" i="1"/>
  <c r="AE63" i="1"/>
  <c r="AE111" i="1"/>
  <c r="AE15" i="1"/>
  <c r="AE62" i="1"/>
  <c r="AE36" i="1"/>
  <c r="AE174" i="1"/>
  <c r="AE102" i="1"/>
  <c r="AE73" i="1"/>
</calcChain>
</file>

<file path=xl/sharedStrings.xml><?xml version="1.0" encoding="utf-8"?>
<sst xmlns="http://schemas.openxmlformats.org/spreadsheetml/2006/main" count="632" uniqueCount="371">
  <si>
    <t>Համայնքապետարանի կողմից ստացված տեղեկատվություն</t>
  </si>
  <si>
    <t>Հետագա վաճառքի և օտարման միջին գների հարաբերակցության (%) ամենաբարձր 10 ցուցանիշները</t>
  </si>
  <si>
    <t>Կադաստրի կոմիտեի կողմից ստացված տեղեկատվություն</t>
  </si>
  <si>
    <t>Հետագա վաճառքի և օտարման միջին գների հարաբերակցությունը՝ 100 %-ից բարձր</t>
  </si>
  <si>
    <t>Վերլուծություն</t>
  </si>
  <si>
    <t>Հետագա վաճառքի և օտարման միջին գների հարաբերակցությունը՝ 100 %-ից ցածր</t>
  </si>
  <si>
    <t>Հ/Հ</t>
  </si>
  <si>
    <t>Գտնվելու վայրը</t>
  </si>
  <si>
    <t>Ծածկագիրը</t>
  </si>
  <si>
    <t>Նպատակային նշանակությունը</t>
  </si>
  <si>
    <t>Գործառնական նշանակությունը</t>
  </si>
  <si>
    <t>Կադաստրային արժեքը (դրամ)</t>
  </si>
  <si>
    <t>Աճուրդի ամսաթիվը</t>
  </si>
  <si>
    <t>Պայմանագրի կնքման ամսաթիվը</t>
  </si>
  <si>
    <t>1 քառ.մետր կադաստրային արժեք (դրամ)</t>
  </si>
  <si>
    <t>Հետագա վաճառքներ 1</t>
  </si>
  <si>
    <t>Հետագա վաճառքներ 2</t>
  </si>
  <si>
    <t>Մեկնաբանություն՝ հողամասերի միավորման ու բաժանման  արդյունքում նոր կազմավորված հողամասերի չափերի և օտարման գների վերաբերյալ</t>
  </si>
  <si>
    <t>Օտարման գնի նկատմամբ հետագա վաճառքի գնի հարաբերակց-նը %</t>
  </si>
  <si>
    <t>Համայնքի կողմից օտարված հողամասի</t>
  </si>
  <si>
    <t>Վերավաճառված հողամասի</t>
  </si>
  <si>
    <t>Օտարման միջին գնի նկատմամբ հետագա վաճառքի միջին գնի հարաբերակց-նը %</t>
  </si>
  <si>
    <t>Ծածկագիր</t>
  </si>
  <si>
    <t>Վաճառքի ամսաթիվը</t>
  </si>
  <si>
    <t>Վաճառքի գին (դրամ)</t>
  </si>
  <si>
    <t>Վաճառքի տարեթիվ</t>
  </si>
  <si>
    <t>Հեկտար</t>
  </si>
  <si>
    <t>ընդհանուր մակերեսը (ք.մ.)</t>
  </si>
  <si>
    <t>օտարման ընդհանուր գինը</t>
  </si>
  <si>
    <t>1 ք.մ. -ի օտարման  միջին գինը</t>
  </si>
  <si>
    <t xml:space="preserve"> ընդհանուր վաճառքի գինը</t>
  </si>
  <si>
    <t>1 ք.մ. -ի վաճառքի միջին գինը</t>
  </si>
  <si>
    <t>գ․ Փարպի</t>
  </si>
  <si>
    <t>02-110-0078-0039</t>
  </si>
  <si>
    <t>բնակավայրերի</t>
  </si>
  <si>
    <t>բնակելի</t>
  </si>
  <si>
    <t>22/01/2024</t>
  </si>
  <si>
    <t>24/01/2024</t>
  </si>
  <si>
    <t>2024-08-01</t>
  </si>
  <si>
    <t>-</t>
  </si>
  <si>
    <t>ք․ Աշտարակ</t>
  </si>
  <si>
    <t>02-001-0058-0181</t>
  </si>
  <si>
    <t>25/01/2024</t>
  </si>
  <si>
    <t>Ժառանգություն</t>
  </si>
  <si>
    <t>09.09.2025</t>
  </si>
  <si>
    <t>02-001-0083-0052</t>
  </si>
  <si>
    <t>Չի վաճառվել</t>
  </si>
  <si>
    <t>02-001-0177-0133</t>
  </si>
  <si>
    <t>հասարակ․</t>
  </si>
  <si>
    <t>13/02/2024</t>
  </si>
  <si>
    <t>16/02/2024</t>
  </si>
  <si>
    <t>18/07/2024</t>
  </si>
  <si>
    <t>02-110-0050-0121</t>
  </si>
  <si>
    <t>2024-05-23</t>
  </si>
  <si>
    <t>02-001-0742-0161</t>
  </si>
  <si>
    <t>29/04/2024</t>
  </si>
  <si>
    <t>2024-08-16</t>
  </si>
  <si>
    <t>գ․ Անտառւտ</t>
  </si>
  <si>
    <t>02-010-0035-0001</t>
  </si>
  <si>
    <t>18.05.2025</t>
  </si>
  <si>
    <t>Նվիրատվություն</t>
  </si>
  <si>
    <t>02-001-0411-0065</t>
  </si>
  <si>
    <t>14/06/2024</t>
  </si>
  <si>
    <t>20/06/2024</t>
  </si>
  <si>
    <t>02-001-0411-0068</t>
  </si>
  <si>
    <t>02-001-0411-0067</t>
  </si>
  <si>
    <t>02-001-0407-0071</t>
  </si>
  <si>
    <t>02-001-0407-0073</t>
  </si>
  <si>
    <t>21.05.2025</t>
  </si>
  <si>
    <t xml:space="preserve">02-001-0407-0074 </t>
  </si>
  <si>
    <t>02.07.2025</t>
  </si>
  <si>
    <t>02-001-0407-0075</t>
  </si>
  <si>
    <t xml:space="preserve">02-001-0407-0072 </t>
  </si>
  <si>
    <t>13.12.2024</t>
  </si>
  <si>
    <t>02-110-0050-0102</t>
  </si>
  <si>
    <t>Գ․ Օրգով</t>
  </si>
  <si>
    <t>02-114-0033-0012</t>
  </si>
  <si>
    <t>2024-07-03</t>
  </si>
  <si>
    <t>գ․ Ղազարավան</t>
  </si>
  <si>
    <t>02-068-0019-0130</t>
  </si>
  <si>
    <t>13/06/2024</t>
  </si>
  <si>
    <t>գ․ Կոշ</t>
  </si>
  <si>
    <t>02-061-0022-0061</t>
  </si>
  <si>
    <t>19/07/2024</t>
  </si>
  <si>
    <t>23/07/2024</t>
  </si>
  <si>
    <t>գ․Օշական</t>
  </si>
  <si>
    <t>02-113-0051-0011</t>
  </si>
  <si>
    <t>24/07/2024</t>
  </si>
  <si>
    <t>02-113-0051-0013</t>
  </si>
  <si>
    <t>02-113-0051-0014</t>
  </si>
  <si>
    <t>գ․ կոշ</t>
  </si>
  <si>
    <t>02-061-0031-0016</t>
  </si>
  <si>
    <t>02-110-0152-0021</t>
  </si>
  <si>
    <t>30/08/2024</t>
  </si>
  <si>
    <t>02-001-0407-0055</t>
  </si>
  <si>
    <t>23/10/2024</t>
  </si>
  <si>
    <t>28/10/2024</t>
  </si>
  <si>
    <t>02-061-0024-0018</t>
  </si>
  <si>
    <t>31/10/2024</t>
  </si>
  <si>
    <t>Միավորվել է 02-061-0024-0028 /0.07071 հա/ ծածկագրով միավորին և գրանցվել է 02-061-0024-0031 ծածկագրով /0.32465 հա/, որը բաժանվել է 2 գույքային միավորի՝ 02-061-0024-0032 /0.14 հա/ և 02-061-0024-0033 /0.18465 հա/</t>
  </si>
  <si>
    <t>02-061-0024-0028</t>
  </si>
  <si>
    <t>Միավորվել է 02-061-0024-0018 /0.2593 հա/ ծածկագրով միավորին և գրանցվել է 02-061-0024-0031 ծածկագրով /0.32465 հա/, որը բաժանվել է 2 գույքային միավորի՝ 02-061-0024-0032 /0.14 հա/ և 02-061-0024-0033 /0.18465 հա/</t>
  </si>
  <si>
    <t>02-001-0414-0042</t>
  </si>
  <si>
    <t>02-001-0152-0044</t>
  </si>
  <si>
    <t>25/11/2024</t>
  </si>
  <si>
    <t>02-001-0402-0028</t>
  </si>
  <si>
    <t>27/11/2024</t>
  </si>
  <si>
    <t>02-001-0402-0030</t>
  </si>
  <si>
    <t>02-001-0402-0029</t>
  </si>
  <si>
    <t>գ․ Կարբի</t>
  </si>
  <si>
    <t>02-058-0060-0033</t>
  </si>
  <si>
    <t>18/11/2024</t>
  </si>
  <si>
    <t>02-001-0859-0674</t>
  </si>
  <si>
    <t>28/11/2024</t>
  </si>
  <si>
    <t>02-001-0550-0031</t>
  </si>
  <si>
    <t>02-001-0550-0054</t>
  </si>
  <si>
    <t>02-001-0550-0053</t>
  </si>
  <si>
    <t>02-001-0550-0032</t>
  </si>
  <si>
    <t>փոխանակում</t>
  </si>
  <si>
    <t>02-001-0550-0051</t>
  </si>
  <si>
    <t>02-001-0550-0045</t>
  </si>
  <si>
    <t>02-001-0550-0047</t>
  </si>
  <si>
    <t>02-001-0550-0049</t>
  </si>
  <si>
    <t>02-001-0550-0050</t>
  </si>
  <si>
    <t>02-001-0550-0036</t>
  </si>
  <si>
    <t>02-001-0550-0037</t>
  </si>
  <si>
    <t>02-001-0550-0035</t>
  </si>
  <si>
    <t>02-001-0550-0039</t>
  </si>
  <si>
    <t>02-001-0550-0040</t>
  </si>
  <si>
    <t>02-001-0550-0034</t>
  </si>
  <si>
    <t>02-001-0550-0042</t>
  </si>
  <si>
    <t>02-068-0034-0006</t>
  </si>
  <si>
    <t>02-001-0012-0162</t>
  </si>
  <si>
    <t>02-001-0012-0540</t>
  </si>
  <si>
    <t>02-001-0012-0542</t>
  </si>
  <si>
    <t>02-001-0012-0541</t>
  </si>
  <si>
    <t>02-001-0012-0543</t>
  </si>
  <si>
    <t>02-001-0251-0066</t>
  </si>
  <si>
    <t>16/12/2024</t>
  </si>
  <si>
    <t>02-114-0001-0001</t>
  </si>
  <si>
    <t>17/12/2024</t>
  </si>
  <si>
    <t>02-114-0001-0012</t>
  </si>
  <si>
    <t>02-114-0001-0011</t>
  </si>
  <si>
    <t>գ․ փարպի</t>
  </si>
  <si>
    <t>02-110-0050-0133</t>
  </si>
  <si>
    <t>13/12/2024</t>
  </si>
  <si>
    <t>02-110-0050-0134</t>
  </si>
  <si>
    <t>02-001-0432-0012</t>
  </si>
  <si>
    <t>19/12/2024</t>
  </si>
  <si>
    <t>23/12/2024</t>
  </si>
  <si>
    <t>02-001-0127-0005</t>
  </si>
  <si>
    <t>գ․ Ոսկեվազ</t>
  </si>
  <si>
    <t>02-087-0062-0013</t>
  </si>
  <si>
    <t>20/12/2024</t>
  </si>
  <si>
    <t>գ․ Օշական</t>
  </si>
  <si>
    <t>02-113-0239-0118
02-113-0236-0024
02-113-0243-0085
02-113-0243-0084
02-113-0244-0062
02-113-0248-0033</t>
  </si>
  <si>
    <t>0,1309
0․1505 0․04696 0․01048 0․0199 0․17109</t>
  </si>
  <si>
    <t>գյուղ․</t>
  </si>
  <si>
    <t>վարել․
վարել․
վարել․
վարել․
այլ,
վարել․</t>
  </si>
  <si>
    <t>02-113-0248-0033</t>
  </si>
  <si>
    <t>02-113-0244-0062</t>
  </si>
  <si>
    <t>02-113-0243-0084</t>
  </si>
  <si>
    <t>02-113-0243-0085</t>
  </si>
  <si>
    <t>02-113-0236-0024</t>
  </si>
  <si>
    <t>02-113-0239-0118</t>
  </si>
  <si>
    <t xml:space="preserve">02-058-0308-1031
02-058-0321-0198
02-058-0304-0228 </t>
  </si>
  <si>
    <t xml:space="preserve">0,09168 0․30179 0․2003 </t>
  </si>
  <si>
    <t>վարել․
վարել․ 
այլ</t>
  </si>
  <si>
    <t>15/02/2024</t>
  </si>
  <si>
    <t>02-058-0308-1031</t>
  </si>
  <si>
    <t>02-058-0321-0098</t>
  </si>
  <si>
    <t>02-058-0304-0228</t>
  </si>
  <si>
    <t>գ․ Օհանավան</t>
  </si>
  <si>
    <t>02-112-0147-0182
02-112-0147-0171
02-112-0144-0088</t>
  </si>
  <si>
    <t>0,39068
0,261
0,07122</t>
  </si>
  <si>
    <t>կորիզ․
հնդ․
խոտհ․</t>
  </si>
  <si>
    <t>14/03/2024</t>
  </si>
  <si>
    <t>02-112-0147-0182</t>
  </si>
  <si>
    <t>02-112-0147-0171</t>
  </si>
  <si>
    <t>02-112-0144-0088</t>
  </si>
  <si>
    <t>գ․ Բազմաղբյուր</t>
  </si>
  <si>
    <t>02-024-0111-0119
02-024-0209-0026
02-024-0111-0017</t>
  </si>
  <si>
    <t>0,161
0,1269
0,1742</t>
  </si>
  <si>
    <t>այլ</t>
  </si>
  <si>
    <t>02-024-0111-0119</t>
  </si>
  <si>
    <t>02-024-0209-0026</t>
  </si>
  <si>
    <t>02-024-0111-0017</t>
  </si>
  <si>
    <t>02-113-0109-0006
02-113-0244-0063</t>
  </si>
  <si>
    <t>0․71461 0․0289</t>
  </si>
  <si>
    <t>1․/0․39482-վար․, 0,31979-այլ / 
2․ այլ</t>
  </si>
  <si>
    <t>Միավորվել է 02-113-0109-0032 /0.96232 հա/ ծածկագրով միավորին և գրանցվել է 02-113-0109-0038 ծածկագրով /1.67693 հա/, որը բաժանվել է 2 գույքային միավորի՝  02-113-0109-0040 /1.1769 հա/ և 02-113-0109-0038 /0.5 հա/</t>
  </si>
  <si>
    <t>118,5
6,75</t>
  </si>
  <si>
    <t>02-113-0109-0038</t>
  </si>
  <si>
    <t>Չի վերլուծվել</t>
  </si>
  <si>
    <t>02-113-0244-0063</t>
  </si>
  <si>
    <t>02-113-0109-0032
02-113-0239-0117</t>
  </si>
  <si>
    <t>0,96232 0,584</t>
  </si>
  <si>
    <t>վարել․
վարել․</t>
  </si>
  <si>
    <t>Միավորվել է 02-113-0109-0006 /0․71461 հա/ ծածկագրով միավորին և գրանցվել է 02-113-0109-0038 ծածկագրով /1.67693 հա/, որը բաժանվել է 2 գույքային միավորի՝  02-113-0109-0040 /1.1769 հա/ և 02-113-0109-0038 /0.5 հա/</t>
  </si>
  <si>
    <t>02-113-0239-0117</t>
  </si>
  <si>
    <t>գ․ Նոր Երզնկա</t>
  </si>
  <si>
    <t>07-050-0107-0139</t>
  </si>
  <si>
    <t>վարել․</t>
  </si>
  <si>
    <t>19/06/2024</t>
  </si>
  <si>
    <t>02-058-0338-0032
02-058--0338-0101
02-058-0322-0067
02-058-0292-0002
02-058-0321-0100
02-058-0321-0102
02-058-0318-0200</t>
  </si>
  <si>
    <t>0,07877 0,02809 0,0232 1,35428 0,08629 0,09857 0,13469</t>
  </si>
  <si>
    <t>վարել․
վարել․ 
այլ
այլ
այլ
այլ
այլ</t>
  </si>
  <si>
    <t xml:space="preserve">100
100
200
200
200
200
200  </t>
  </si>
  <si>
    <t xml:space="preserve">93343                                   33287                              1566                             108343                            5825                               6654                               9092                 </t>
  </si>
  <si>
    <t>21/06/2024</t>
  </si>
  <si>
    <t>118.5
6.75</t>
  </si>
  <si>
    <t>02-058-0338-0032</t>
  </si>
  <si>
    <t>30/07/2024</t>
  </si>
  <si>
    <t>02-058-0338-0101</t>
  </si>
  <si>
    <t>15/09/2025</t>
  </si>
  <si>
    <t>02-058-0322-0067</t>
  </si>
  <si>
    <t>02-058-0292-0002</t>
  </si>
  <si>
    <t>29/07/2024</t>
  </si>
  <si>
    <t>02-058-0321-0100</t>
  </si>
  <si>
    <t>02-058-0321-0102</t>
  </si>
  <si>
    <t>02-058-0318-0200</t>
  </si>
  <si>
    <t>02-087-0201-0024
02-087-0201-0025
02-0587-0231-0044
02-087-0231-0043</t>
  </si>
  <si>
    <t xml:space="preserve">0,06372  0,3582  0,0726  0,03185  </t>
  </si>
  <si>
    <t xml:space="preserve">այլ
այլ
այլ
այլ </t>
  </si>
  <si>
    <t>02-087-0201-0024</t>
  </si>
  <si>
    <t>Միավորվել է 02-087-0201-0030 ծածկագրով /0.1876 հա/ միավորին և գրանցված է 02-087-0201-0035 ծածկագրով /0.25132 հա/</t>
  </si>
  <si>
    <t>02-087-0201-0025</t>
  </si>
  <si>
    <t>Միավորվել է 02-087-0201-0032 ծածկագրով /0.1897 հա/ միավորին և գրանցված է 02-087-0201-0036 ծածկագրով /0.5479 հա/</t>
  </si>
  <si>
    <t>02-087-0231-0044</t>
  </si>
  <si>
    <t>02-087-0231-0043</t>
  </si>
  <si>
    <t>07-050-0107-0141</t>
  </si>
  <si>
    <t>15/07/2024</t>
  </si>
  <si>
    <t>գ․ Սասունիկ</t>
  </si>
  <si>
    <t>02-095-0228-0040</t>
  </si>
  <si>
    <t>26/07/2024</t>
  </si>
  <si>
    <t>02-113-0269-0018
02-113-0239-0119
02-113-0109-0037</t>
  </si>
  <si>
    <t>0,0221  0,01718
0,5</t>
  </si>
  <si>
    <t>այլ
վարել․
այլ</t>
  </si>
  <si>
    <t>02-113-0269-0018</t>
  </si>
  <si>
    <t>27/06/2024</t>
  </si>
  <si>
    <t>02-113-0239-0119</t>
  </si>
  <si>
    <t>02-113-0109-0037</t>
  </si>
  <si>
    <t>07-050-0109-0091
07-050-0146-0002</t>
  </si>
  <si>
    <t>0,70008  0,0428</t>
  </si>
  <si>
    <t>վարել․
այլ</t>
  </si>
  <si>
    <t>100  100</t>
  </si>
  <si>
    <t>07-050-0109-0091</t>
  </si>
  <si>
    <t>25/09/2024</t>
  </si>
  <si>
    <t>07-050-0146-0002</t>
  </si>
  <si>
    <t>գ․ Ագարակ</t>
  </si>
  <si>
    <t>02-004-0213-0053
02-004-0104-0031</t>
  </si>
  <si>
    <t>0,01701  0,3802</t>
  </si>
  <si>
    <t>այլ
այլ</t>
  </si>
  <si>
    <t>02-004-0213-0053</t>
  </si>
  <si>
    <t>02-004-0104-0031</t>
  </si>
  <si>
    <t>02-004-0209-0232
02-004-0010-0007
02-004-0010-0008
02-004-0219-0038</t>
  </si>
  <si>
    <t>0,2207
0,122
0,0111
0,1129</t>
  </si>
  <si>
    <t>այլ
այլ
այլ 
վարել․</t>
  </si>
  <si>
    <t>02-004-0209-0232</t>
  </si>
  <si>
    <t>02-004-0010-0007</t>
  </si>
  <si>
    <t>02-004-0010-0008</t>
  </si>
  <si>
    <t>02-004-0219-0038</t>
  </si>
  <si>
    <t>02-001-0698-0003</t>
  </si>
  <si>
    <t>22/07/2024</t>
  </si>
  <si>
    <t>գ․ Արագածոտն</t>
  </si>
  <si>
    <t>02-017-0160-0224</t>
  </si>
  <si>
    <t>27.06.2025
նվիրատվություն</t>
  </si>
  <si>
    <t xml:space="preserve">02-017-0160-0271 </t>
  </si>
  <si>
    <t>02-024-0116-0032</t>
  </si>
  <si>
    <t>02-112-0145-0017
02-112-0203-0091
02-112-0205-0064</t>
  </si>
  <si>
    <t>0,1178  0,4369  0,026</t>
  </si>
  <si>
    <t>կորիզ
հնդավոր
հնդավոր</t>
  </si>
  <si>
    <t>02-112-0145-0017</t>
  </si>
  <si>
    <t>02-112-0203-0091</t>
  </si>
  <si>
    <t>02-112-0205-0064</t>
  </si>
  <si>
    <t>02-001-0636-0010
02-001-0730-0012
02-001-0447-0007
02-001-0637-0042
02-001-0634-0061
02-001-0634-0077
02-001-0637-0046</t>
  </si>
  <si>
    <t xml:space="preserve">0,3227  0,1815
0,073  0,0623  0,0165  0,0444  0,0125  </t>
  </si>
  <si>
    <t>վարել․
վարել․
այլ
հնդավոր
վարեյ․
վարել․ 
հնդավոր</t>
  </si>
  <si>
    <t>02-001-0636-0010</t>
  </si>
  <si>
    <t>02-001-0730-0012</t>
  </si>
  <si>
    <t>02-001-0447-0007</t>
  </si>
  <si>
    <t>02-001-0637-0042</t>
  </si>
  <si>
    <t>02-001-0634-0061</t>
  </si>
  <si>
    <t>02-001-0634-0077</t>
  </si>
  <si>
    <t>02-001-0637-0046</t>
  </si>
  <si>
    <t>02-001-0685-0001</t>
  </si>
  <si>
    <t>23/09/2024</t>
  </si>
  <si>
    <t>26/09/2024</t>
  </si>
  <si>
    <t>02-001-0730-0013
02-001-0730-0002</t>
  </si>
  <si>
    <t>0,9125  0,3974</t>
  </si>
  <si>
    <t>այլ և վարել.
այլ</t>
  </si>
  <si>
    <t>29/10/2024</t>
  </si>
  <si>
    <t>6,75
118,5</t>
  </si>
  <si>
    <t>02-001-0730-0013</t>
  </si>
  <si>
    <t>02-001-0730-0002</t>
  </si>
  <si>
    <t>01-002-0686-0007
02-001-0686-0006
02-001-0729-0002
02-001-0729-0007
02-001-0728-0003
02-001-0686-0005</t>
  </si>
  <si>
    <t>0,040414  0,0516  0,2441  0,2265  0,7149  0,4675</t>
  </si>
  <si>
    <t>այլ
այլ
վարել
վարել
վարել
այլ</t>
  </si>
  <si>
    <t>200  200  200  200
200
100</t>
  </si>
  <si>
    <t>02-001-0686-0007</t>
  </si>
  <si>
    <t>02-001-0686-0006</t>
  </si>
  <si>
    <t>Միավորվել է 02-001-0686-0005 ծածկագրով /0.04675 հա/ միավորին և գրանցվել է 02-001-0686-0008 ծածկագրով /0.09835 հա/</t>
  </si>
  <si>
    <t>02-001-0686-0005</t>
  </si>
  <si>
    <t>02-001-0729-0002</t>
  </si>
  <si>
    <t>02-001-0729-0007</t>
  </si>
  <si>
    <t>02-001-0728-0003</t>
  </si>
  <si>
    <t>02-061-0200-0125
02-061-0106-0240</t>
  </si>
  <si>
    <t>1,19248  0,4796</t>
  </si>
  <si>
    <t>02-061-0200-0125</t>
  </si>
  <si>
    <t>02-061-0106-0240</t>
  </si>
  <si>
    <t>02-112-0140-0072
02-112-0101-0073</t>
  </si>
  <si>
    <t>0,33294  0,87412</t>
  </si>
  <si>
    <t>այլ             վարել</t>
  </si>
  <si>
    <t>22/11/2024</t>
  </si>
  <si>
    <t>02-112-0140-0072</t>
  </si>
  <si>
    <t>02-112-0101-0073</t>
  </si>
  <si>
    <t>02-004-0101-0089
02-004-0220-0010
02-004-0222-0002</t>
  </si>
  <si>
    <t>0,2625  0,0903 0,2168</t>
  </si>
  <si>
    <t>այլ
վարել.
Վարել.</t>
  </si>
  <si>
    <t>02-004-0101-0089</t>
  </si>
  <si>
    <t>02-004-0220-0010</t>
  </si>
  <si>
    <t>02-004-0220-0002</t>
  </si>
  <si>
    <t>02-058-0344-0001
02-058-0334-0009</t>
  </si>
  <si>
    <t>0,596
0,0914</t>
  </si>
  <si>
    <t>այլ և վարել
այլ</t>
  </si>
  <si>
    <t>6,75
159,5</t>
  </si>
  <si>
    <t>02-058-0344-0001</t>
  </si>
  <si>
    <t>02-058-0344-0009</t>
  </si>
  <si>
    <t>02-112-0101-0077</t>
  </si>
  <si>
    <t>վարել</t>
  </si>
  <si>
    <t>02-110-0168-0014
02-110-0101-0052</t>
  </si>
  <si>
    <t>0,16155  0,4619</t>
  </si>
  <si>
    <t>հնդավոր
վարել</t>
  </si>
  <si>
    <t>24/12/2024</t>
  </si>
  <si>
    <t>02-110-0168-0014</t>
  </si>
  <si>
    <t>02-110-0101-0052</t>
  </si>
  <si>
    <t>17/02/2025</t>
  </si>
  <si>
    <t>գ․ Աղձք</t>
  </si>
  <si>
    <t>02-008-0165-0028
02-008-0165-0029
02-008-0118-0085
02-008-0165-0032
02-008-0165-0033
02-008-0165-0034</t>
  </si>
  <si>
    <t xml:space="preserve">0,12
0,12
0,20216  0,1546
0,048
0,1854  </t>
  </si>
  <si>
    <t>այլ
այլ
վարել.
Այլ
այլ
հնդավ</t>
  </si>
  <si>
    <t>27/12/2024</t>
  </si>
  <si>
    <t>02-008-0165-0028</t>
  </si>
  <si>
    <t>23/01/2025</t>
  </si>
  <si>
    <t>02-008-0165-0029</t>
  </si>
  <si>
    <t>02-008-0118-0085</t>
  </si>
  <si>
    <t>31/01/2025</t>
  </si>
  <si>
    <t>22/04/2025</t>
  </si>
  <si>
    <t>02-008-0165-0032</t>
  </si>
  <si>
    <t>02-008-0165-0033</t>
  </si>
  <si>
    <t>02-008-0165-0034</t>
  </si>
  <si>
    <t>30/01/2025</t>
  </si>
  <si>
    <t>Հավելված</t>
  </si>
  <si>
    <t>Բաժանվել է 2 միավորի՝  02-001-0402-0030 /0.09 հա/ և  02-001-0402-0029 /0.0561 հա/</t>
  </si>
  <si>
    <t>Բաժանվել է 20 միավորի՝  02-001-0550-0046 (/0.05205 հա, որը միավորվել է 02-001-0550-0024 /0.03 հա/, որից հետո բաժանվել է 02-001-0550-0054 /0.02955հա/ և 02-001-0550-0053 /0.0525հա/),  02-001-0550-0032 /0.1354 հա/,  02-001-0550-0051 /0.0946 հա/, 02-001-0550-0045 /0.0943 հա/, 02-001-0550-0047 /0.0943 հա/, 02-001-0550-0044 /0.0943 հա/, 02-001-0550-0048 /0.0943 հա/,  02-001-0550-0043 /0.0943 հա/, 02-001-0550-0049 /0.0943 հա/, 02-001-0550-0050 /0.1008 հա/, 02-001-0550-0038 /0.0593 հա/, 02-001-0550-0036 /0.0518 հա/, 02-001-0550-0037 /0.0533 հա/, 02-001-0550-0035 /0.0516 հա/, 02-001-0550-0039 /0.0516 հա/, 02-001-0550-0040 /0.0517 հա/, 02-001-0550-0034 /0.0516 հա/, 02-001-0550-0033 /0.0516 հա/, 02-001-0550-0041 /0.055 հա/ (02-001-0550-0033 և 02-001-0550-0041 միավորվել են և գրանցված են 02-001-0550-0055 ծածկագրով /0.1066 հա/ ), 02-001-0550-0042 /0.0943 հա/</t>
  </si>
  <si>
    <t>Բաժանվել է 4 միավորի՝ 02-001-0012-0540 /0.035 հա/, 02-001-0012-0542 /0.035 հա/,  02-001-0012-0543 /0.035 հա/ և 02-001-0012-0541 /0.035 հա/</t>
  </si>
  <si>
    <t>Բաժանվել է 2 միավորի՝  02-114-0001-0011 /0.08452 հա/ և  02-114-0001-0012 /0.0451 հա/</t>
  </si>
  <si>
    <t>Ըստ պայմանագրի ձեռքե բերվել 2 միավոր անշարժ գույք (այդ թվում նաև 02-017-0160-0271 /49.99739 հա/ ծածկագրով հողամասը)</t>
  </si>
  <si>
    <t>Բաժանվել է 2 միավորի՝ 02-113-0051-0013 /0.06 հա/ և  02-113-0051-0014 /0.0911 հա/</t>
  </si>
  <si>
    <t>Բաժանվել է 2 միավորի՝ 02-001-0407-0073 /0.0609 հա, որը հետագայում բաժանվել է ևս 2 միավորի՝ 02-001-0407-0075 /0.0303 հա/ և 02-001-0407-0074 /0.03 հա// և  02-001-0407-0072 /0.06 հա/</t>
  </si>
  <si>
    <t>Բաժանվել է 2 միավորի՝ 02-001-0411-0068 /0.0616 հա/` 2000000դրամ և  02-001-0411-0067 /0.06 հա/՝ 1800000դրամ</t>
  </si>
  <si>
    <t>Աշտարակի համայնքապետարանի կողմից 2024 թվականի ընթացքում աճուրդով օտարված համայնքային սեփականություն հանդիսացող հողամասերի շուկայական գների վերլուծություն։</t>
  </si>
  <si>
    <t>Կադաստրի կոմիտեից ստացված տեղեկատվություն</t>
  </si>
  <si>
    <t xml:space="preserve"> </t>
  </si>
  <si>
    <t>Համայնքապետարանի կողմից տրամադրված տեղեկատվություն</t>
  </si>
  <si>
    <t>Մակերեսը (քառ.մետր)</t>
  </si>
  <si>
    <t>Օտարման գին (դրամ)</t>
  </si>
  <si>
    <t>Ընդհանուր մակերեսը (քառ.մետր)</t>
  </si>
  <si>
    <t>Մեկնարկային գինը (կադաստրային արժեքի %)</t>
  </si>
  <si>
    <t>Կադաստրային արժեք (դրամ)</t>
  </si>
  <si>
    <t>Մակերեսը (հեկտար)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</si>
</sst>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0.0"/>
    <numFmt numFmtId="165" formatCode="_-* #,##0.00\ _₽_-;\-* #,##0.00\ _₽_-;_-* &quot;-&quot;??\ _₽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GHEA Grapalat"/>
      <family val="3"/>
    </font>
    <font>
      <b/>
      <sz val="14"/>
      <color theme="1"/>
      <name val="GHEA Grapalat"/>
      <family val="3"/>
    </font>
    <font>
      <b/>
      <sz val="11"/>
      <color theme="1"/>
      <name val="GHEA Grapalat"/>
      <family val="3"/>
    </font>
    <font>
      <b/>
      <sz val="12"/>
      <name val="GHEA Grapalat"/>
      <family val="3"/>
    </font>
    <font>
      <b/>
      <sz val="9"/>
      <color rgb="FF000000"/>
      <name val="GHEA Grapalat"/>
      <family val="3"/>
    </font>
    <font>
      <b/>
      <sz val="9"/>
      <name val="GHEA Grapalat"/>
      <family val="3"/>
    </font>
    <font>
      <b/>
      <sz val="11"/>
      <name val="GHEA Grapalat"/>
      <family val="3"/>
    </font>
    <font>
      <b/>
      <sz val="9"/>
      <color theme="1"/>
      <name val="GHEA Grapalat"/>
      <family val="3"/>
    </font>
    <font>
      <b/>
      <sz val="12"/>
      <color theme="1"/>
      <name val="GHEA Grapalat"/>
      <family val="3"/>
    </font>
    <font>
      <b/>
      <sz val="9"/>
      <color rgb="FFFF0000"/>
      <name val="GHEA Grapalat"/>
      <family val="3"/>
    </font>
  </fonts>
  <fills count="11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 style="medium">
        <color indexed="64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medium">
        <color indexed="64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medium">
        <color indexed="64"/>
      </left>
      <right style="thin">
        <color theme="1"/>
      </right>
      <top style="thin">
        <color theme="1"/>
      </top>
      <bottom style="medium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indexed="64"/>
      </bottom>
      <diagonal/>
    </border>
    <border>
      <left style="thin">
        <color theme="1"/>
      </left>
      <right style="medium">
        <color indexed="64"/>
      </right>
      <top style="thin">
        <color theme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77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 vertical="top"/>
    </xf>
    <xf numFmtId="0" fontId="0" fillId="0" borderId="0" xfId="0" applyAlignment="1">
      <alignment horizontal="right"/>
    </xf>
    <xf numFmtId="0" fontId="4" fillId="0" borderId="0" xfId="0" applyFont="1"/>
    <xf numFmtId="0" fontId="0" fillId="2" borderId="1" xfId="0" applyFill="1" applyBorder="1"/>
    <xf numFmtId="0" fontId="0" fillId="4" borderId="1" xfId="0" applyFill="1" applyBorder="1" applyAlignment="1">
      <alignment horizontal="right"/>
    </xf>
    <xf numFmtId="0" fontId="0" fillId="5" borderId="1" xfId="0" applyFill="1" applyBorder="1"/>
    <xf numFmtId="0" fontId="2" fillId="6" borderId="1" xfId="0" applyFont="1" applyFill="1" applyBorder="1"/>
    <xf numFmtId="0" fontId="0" fillId="7" borderId="1" xfId="0" applyFill="1" applyBorder="1"/>
    <xf numFmtId="0" fontId="0" fillId="8" borderId="1" xfId="0" applyFill="1" applyBorder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top"/>
    </xf>
    <xf numFmtId="0" fontId="6" fillId="5" borderId="8" xfId="0" applyFont="1" applyFill="1" applyBorder="1" applyAlignment="1">
      <alignment horizontal="center" vertical="center" wrapText="1"/>
    </xf>
    <xf numFmtId="0" fontId="6" fillId="5" borderId="15" xfId="0" applyFont="1" applyFill="1" applyBorder="1" applyAlignment="1">
      <alignment horizontal="center" vertical="center" wrapText="1"/>
    </xf>
    <xf numFmtId="0" fontId="6" fillId="5" borderId="15" xfId="0" applyFont="1" applyFill="1" applyBorder="1" applyAlignment="1">
      <alignment horizontal="right" vertical="center" wrapText="1"/>
    </xf>
    <xf numFmtId="0" fontId="7" fillId="7" borderId="1" xfId="0" applyFont="1" applyFill="1" applyBorder="1" applyAlignment="1">
      <alignment horizontal="center" vertical="center" wrapText="1"/>
    </xf>
    <xf numFmtId="9" fontId="9" fillId="10" borderId="1" xfId="2" applyFont="1" applyFill="1" applyBorder="1" applyAlignment="1">
      <alignment horizontal="center" vertical="top" wrapText="1"/>
    </xf>
    <xf numFmtId="0" fontId="7" fillId="9" borderId="12" xfId="0" applyFont="1" applyFill="1" applyBorder="1" applyAlignment="1">
      <alignment horizontal="center" vertical="top" wrapText="1"/>
    </xf>
    <xf numFmtId="0" fontId="7" fillId="9" borderId="12" xfId="0" applyFont="1" applyFill="1" applyBorder="1" applyAlignment="1">
      <alignment vertical="top" wrapText="1"/>
    </xf>
    <xf numFmtId="0" fontId="7" fillId="9" borderId="12" xfId="0" applyFont="1" applyFill="1" applyBorder="1" applyAlignment="1">
      <alignment horizontal="left" vertical="top" wrapText="1"/>
    </xf>
    <xf numFmtId="0" fontId="7" fillId="9" borderId="12" xfId="0" applyFont="1" applyFill="1" applyBorder="1" applyAlignment="1">
      <alignment horizontal="right" vertical="top" wrapText="1"/>
    </xf>
    <xf numFmtId="4" fontId="7" fillId="9" borderId="12" xfId="0" applyNumberFormat="1" applyFont="1" applyFill="1" applyBorder="1" applyAlignment="1">
      <alignment horizontal="right" vertical="top" wrapText="1"/>
    </xf>
    <xf numFmtId="14" fontId="7" fillId="9" borderId="12" xfId="0" applyNumberFormat="1" applyFont="1" applyFill="1" applyBorder="1" applyAlignment="1">
      <alignment horizontal="right" vertical="top" wrapText="1"/>
    </xf>
    <xf numFmtId="14" fontId="9" fillId="9" borderId="12" xfId="0" applyNumberFormat="1" applyFont="1" applyFill="1" applyBorder="1" applyAlignment="1">
      <alignment horizontal="right" vertical="top" wrapText="1"/>
    </xf>
    <xf numFmtId="4" fontId="9" fillId="9" borderId="12" xfId="0" applyNumberFormat="1" applyFont="1" applyFill="1" applyBorder="1" applyAlignment="1">
      <alignment vertical="top" wrapText="1"/>
    </xf>
    <xf numFmtId="0" fontId="7" fillId="9" borderId="8" xfId="0" applyFont="1" applyFill="1" applyBorder="1" applyAlignment="1">
      <alignment horizontal="center" vertical="top" wrapText="1"/>
    </xf>
    <xf numFmtId="4" fontId="9" fillId="9" borderId="18" xfId="0" applyNumberFormat="1" applyFont="1" applyFill="1" applyBorder="1" applyAlignment="1">
      <alignment vertical="top" wrapText="1"/>
    </xf>
    <xf numFmtId="0" fontId="7" fillId="9" borderId="17" xfId="0" applyFont="1" applyFill="1" applyBorder="1" applyAlignment="1">
      <alignment horizontal="center" vertical="top" wrapText="1"/>
    </xf>
    <xf numFmtId="0" fontId="9" fillId="9" borderId="17" xfId="0" applyFont="1" applyFill="1" applyBorder="1" applyAlignment="1">
      <alignment horizontal="right" vertical="top" wrapText="1"/>
    </xf>
    <xf numFmtId="0" fontId="9" fillId="9" borderId="17" xfId="0" applyFont="1" applyFill="1" applyBorder="1" applyAlignment="1">
      <alignment horizontal="left" vertical="top" wrapText="1"/>
    </xf>
    <xf numFmtId="43" fontId="9" fillId="9" borderId="17" xfId="1" applyFont="1" applyFill="1" applyBorder="1" applyAlignment="1">
      <alignment horizontal="right" vertical="top" wrapText="1"/>
    </xf>
    <xf numFmtId="0" fontId="9" fillId="9" borderId="17" xfId="0" applyFont="1" applyFill="1" applyBorder="1" applyAlignment="1">
      <alignment vertical="top" wrapText="1"/>
    </xf>
    <xf numFmtId="4" fontId="9" fillId="9" borderId="17" xfId="0" applyNumberFormat="1" applyFont="1" applyFill="1" applyBorder="1" applyAlignment="1">
      <alignment vertical="top" wrapText="1"/>
    </xf>
    <xf numFmtId="9" fontId="9" fillId="9" borderId="1" xfId="2" applyFont="1" applyFill="1" applyBorder="1" applyAlignment="1">
      <alignment horizontal="center" vertical="top" wrapText="1"/>
    </xf>
    <xf numFmtId="0" fontId="9" fillId="9" borderId="1" xfId="0" applyFont="1" applyFill="1" applyBorder="1" applyAlignment="1">
      <alignment vertical="top" wrapText="1"/>
    </xf>
    <xf numFmtId="4" fontId="9" fillId="9" borderId="1" xfId="0" applyNumberFormat="1" applyFont="1" applyFill="1" applyBorder="1" applyAlignment="1">
      <alignment vertical="top" wrapText="1"/>
    </xf>
    <xf numFmtId="43" fontId="9" fillId="9" borderId="1" xfId="0" applyNumberFormat="1" applyFont="1" applyFill="1" applyBorder="1" applyAlignment="1">
      <alignment vertical="top" wrapText="1"/>
    </xf>
    <xf numFmtId="9" fontId="9" fillId="9" borderId="1" xfId="2" applyFont="1" applyFill="1" applyBorder="1" applyAlignment="1">
      <alignment vertical="top"/>
    </xf>
    <xf numFmtId="0" fontId="9" fillId="3" borderId="0" xfId="0" applyFont="1" applyFill="1" applyAlignment="1">
      <alignment vertical="top"/>
    </xf>
    <xf numFmtId="0" fontId="7" fillId="10" borderId="12" xfId="0" applyFont="1" applyFill="1" applyBorder="1" applyAlignment="1">
      <alignment horizontal="center" vertical="top" wrapText="1"/>
    </xf>
    <xf numFmtId="0" fontId="7" fillId="10" borderId="12" xfId="0" applyFont="1" applyFill="1" applyBorder="1" applyAlignment="1">
      <alignment vertical="top" wrapText="1"/>
    </xf>
    <xf numFmtId="0" fontId="7" fillId="10" borderId="12" xfId="0" applyFont="1" applyFill="1" applyBorder="1" applyAlignment="1">
      <alignment horizontal="left" vertical="top" wrapText="1"/>
    </xf>
    <xf numFmtId="0" fontId="7" fillId="10" borderId="12" xfId="0" applyFont="1" applyFill="1" applyBorder="1" applyAlignment="1">
      <alignment horizontal="right" vertical="top" wrapText="1"/>
    </xf>
    <xf numFmtId="4" fontId="7" fillId="10" borderId="12" xfId="0" applyNumberFormat="1" applyFont="1" applyFill="1" applyBorder="1" applyAlignment="1">
      <alignment horizontal="right" vertical="top" wrapText="1"/>
    </xf>
    <xf numFmtId="14" fontId="7" fillId="10" borderId="12" xfId="0" applyNumberFormat="1" applyFont="1" applyFill="1" applyBorder="1" applyAlignment="1">
      <alignment horizontal="right" vertical="top" wrapText="1"/>
    </xf>
    <xf numFmtId="14" fontId="9" fillId="10" borderId="12" xfId="0" applyNumberFormat="1" applyFont="1" applyFill="1" applyBorder="1" applyAlignment="1">
      <alignment horizontal="right" vertical="top" wrapText="1"/>
    </xf>
    <xf numFmtId="4" fontId="9" fillId="10" borderId="12" xfId="0" applyNumberFormat="1" applyFont="1" applyFill="1" applyBorder="1" applyAlignment="1">
      <alignment vertical="top" wrapText="1"/>
    </xf>
    <xf numFmtId="4" fontId="9" fillId="10" borderId="6" xfId="0" applyNumberFormat="1" applyFont="1" applyFill="1" applyBorder="1" applyAlignment="1">
      <alignment vertical="top" wrapText="1"/>
    </xf>
    <xf numFmtId="0" fontId="9" fillId="10" borderId="1" xfId="0" applyFont="1" applyFill="1" applyBorder="1" applyAlignment="1">
      <alignment vertical="top"/>
    </xf>
    <xf numFmtId="0" fontId="9" fillId="10" borderId="1" xfId="0" applyFont="1" applyFill="1" applyBorder="1" applyAlignment="1">
      <alignment horizontal="right" vertical="top" wrapText="1"/>
    </xf>
    <xf numFmtId="43" fontId="9" fillId="10" borderId="1" xfId="1" applyFont="1" applyFill="1" applyBorder="1" applyAlignment="1">
      <alignment horizontal="right" vertical="top" wrapText="1"/>
    </xf>
    <xf numFmtId="0" fontId="7" fillId="10" borderId="1" xfId="0" applyFont="1" applyFill="1" applyBorder="1" applyAlignment="1">
      <alignment vertical="top" wrapText="1"/>
    </xf>
    <xf numFmtId="0" fontId="9" fillId="10" borderId="1" xfId="0" applyFont="1" applyFill="1" applyBorder="1" applyAlignment="1">
      <alignment vertical="top" wrapText="1"/>
    </xf>
    <xf numFmtId="4" fontId="9" fillId="10" borderId="1" xfId="0" applyNumberFormat="1" applyFont="1" applyFill="1" applyBorder="1" applyAlignment="1">
      <alignment vertical="top" wrapText="1"/>
    </xf>
    <xf numFmtId="39" fontId="9" fillId="10" borderId="1" xfId="0" applyNumberFormat="1" applyFont="1" applyFill="1" applyBorder="1" applyAlignment="1">
      <alignment vertical="top" wrapText="1"/>
    </xf>
    <xf numFmtId="43" fontId="9" fillId="10" borderId="1" xfId="0" applyNumberFormat="1" applyFont="1" applyFill="1" applyBorder="1" applyAlignment="1">
      <alignment vertical="top" wrapText="1"/>
    </xf>
    <xf numFmtId="9" fontId="9" fillId="10" borderId="1" xfId="2" applyFont="1" applyFill="1" applyBorder="1" applyAlignment="1">
      <alignment vertical="top"/>
    </xf>
    <xf numFmtId="4" fontId="9" fillId="9" borderId="6" xfId="0" applyNumberFormat="1" applyFont="1" applyFill="1" applyBorder="1" applyAlignment="1">
      <alignment vertical="top" wrapText="1"/>
    </xf>
    <xf numFmtId="0" fontId="7" fillId="9" borderId="1" xfId="0" applyFont="1" applyFill="1" applyBorder="1" applyAlignment="1">
      <alignment horizontal="center" vertical="top" wrapText="1"/>
    </xf>
    <xf numFmtId="0" fontId="9" fillId="9" borderId="1" xfId="0" applyFont="1" applyFill="1" applyBorder="1" applyAlignment="1">
      <alignment horizontal="right" vertical="top" wrapText="1"/>
    </xf>
    <xf numFmtId="0" fontId="9" fillId="9" borderId="1" xfId="0" applyFont="1" applyFill="1" applyBorder="1" applyAlignment="1">
      <alignment horizontal="left" vertical="top" wrapText="1"/>
    </xf>
    <xf numFmtId="43" fontId="9" fillId="9" borderId="1" xfId="1" applyFont="1" applyFill="1" applyBorder="1" applyAlignment="1">
      <alignment horizontal="right" vertical="top" wrapText="1"/>
    </xf>
    <xf numFmtId="0" fontId="9" fillId="9" borderId="1" xfId="0" applyFont="1" applyFill="1" applyBorder="1" applyAlignment="1">
      <alignment horizontal="center" vertical="top" wrapText="1"/>
    </xf>
    <xf numFmtId="4" fontId="9" fillId="10" borderId="19" xfId="0" applyNumberFormat="1" applyFont="1" applyFill="1" applyBorder="1" applyAlignment="1">
      <alignment vertical="top" wrapText="1"/>
    </xf>
    <xf numFmtId="0" fontId="9" fillId="10" borderId="0" xfId="0" applyFont="1" applyFill="1" applyAlignment="1">
      <alignment vertical="top"/>
    </xf>
    <xf numFmtId="0" fontId="9" fillId="10" borderId="7" xfId="0" applyFont="1" applyFill="1" applyBorder="1" applyAlignment="1">
      <alignment horizontal="right" vertical="top" wrapText="1"/>
    </xf>
    <xf numFmtId="43" fontId="9" fillId="10" borderId="7" xfId="1" applyFont="1" applyFill="1" applyBorder="1" applyAlignment="1">
      <alignment horizontal="right" vertical="top" wrapText="1"/>
    </xf>
    <xf numFmtId="0" fontId="9" fillId="10" borderId="7" xfId="0" applyFont="1" applyFill="1" applyBorder="1" applyAlignment="1">
      <alignment vertical="top" wrapText="1"/>
    </xf>
    <xf numFmtId="4" fontId="9" fillId="10" borderId="7" xfId="0" applyNumberFormat="1" applyFont="1" applyFill="1" applyBorder="1" applyAlignment="1">
      <alignment vertical="top" wrapText="1"/>
    </xf>
    <xf numFmtId="164" fontId="9" fillId="10" borderId="1" xfId="0" applyNumberFormat="1" applyFont="1" applyFill="1" applyBorder="1" applyAlignment="1">
      <alignment vertical="top" wrapText="1"/>
    </xf>
    <xf numFmtId="43" fontId="9" fillId="9" borderId="1" xfId="1" applyFont="1" applyFill="1" applyBorder="1" applyAlignment="1">
      <alignment horizontal="right" wrapText="1"/>
    </xf>
    <xf numFmtId="164" fontId="9" fillId="9" borderId="1" xfId="0" applyNumberFormat="1" applyFont="1" applyFill="1" applyBorder="1" applyAlignment="1">
      <alignment vertical="top" wrapText="1"/>
    </xf>
    <xf numFmtId="0" fontId="9" fillId="9" borderId="1" xfId="0" applyFont="1" applyFill="1" applyBorder="1" applyAlignment="1">
      <alignment vertical="top"/>
    </xf>
    <xf numFmtId="0" fontId="7" fillId="10" borderId="7" xfId="0" applyFont="1" applyFill="1" applyBorder="1" applyAlignment="1">
      <alignment horizontal="center" vertical="top" wrapText="1"/>
    </xf>
    <xf numFmtId="14" fontId="9" fillId="10" borderId="7" xfId="0" applyNumberFormat="1" applyFont="1" applyFill="1" applyBorder="1" applyAlignment="1">
      <alignment horizontal="right" vertical="top" wrapText="1"/>
    </xf>
    <xf numFmtId="0" fontId="9" fillId="10" borderId="7" xfId="0" applyFont="1" applyFill="1" applyBorder="1" applyAlignment="1">
      <alignment horizontal="left" vertical="top" wrapText="1"/>
    </xf>
    <xf numFmtId="0" fontId="9" fillId="10" borderId="1" xfId="0" applyFont="1" applyFill="1" applyBorder="1" applyAlignment="1">
      <alignment horizontal="center" vertical="top" wrapText="1"/>
    </xf>
    <xf numFmtId="0" fontId="9" fillId="9" borderId="1" xfId="0" applyFont="1" applyFill="1" applyBorder="1" applyAlignment="1">
      <alignment horizontal="center" vertical="top"/>
    </xf>
    <xf numFmtId="0" fontId="7" fillId="9" borderId="1" xfId="0" applyFont="1" applyFill="1" applyBorder="1" applyAlignment="1">
      <alignment vertical="top" wrapText="1"/>
    </xf>
    <xf numFmtId="14" fontId="9" fillId="9" borderId="1" xfId="0" applyNumberFormat="1" applyFont="1" applyFill="1" applyBorder="1" applyAlignment="1">
      <alignment horizontal="right" vertical="top" wrapText="1"/>
    </xf>
    <xf numFmtId="2" fontId="7" fillId="10" borderId="7" xfId="0" applyNumberFormat="1" applyFont="1" applyFill="1" applyBorder="1" applyAlignment="1">
      <alignment horizontal="center" vertical="top" wrapText="1"/>
    </xf>
    <xf numFmtId="165" fontId="9" fillId="9" borderId="1" xfId="0" applyNumberFormat="1" applyFont="1" applyFill="1" applyBorder="1" applyAlignment="1">
      <alignment vertical="top" wrapText="1"/>
    </xf>
    <xf numFmtId="0" fontId="7" fillId="9" borderId="17" xfId="0" applyFont="1" applyFill="1" applyBorder="1" applyAlignment="1">
      <alignment vertical="top" wrapText="1"/>
    </xf>
    <xf numFmtId="0" fontId="7" fillId="9" borderId="17" xfId="0" applyFont="1" applyFill="1" applyBorder="1" applyAlignment="1">
      <alignment horizontal="left" vertical="top" wrapText="1"/>
    </xf>
    <xf numFmtId="0" fontId="7" fillId="9" borderId="17" xfId="0" applyFont="1" applyFill="1" applyBorder="1" applyAlignment="1">
      <alignment horizontal="right" vertical="top" wrapText="1"/>
    </xf>
    <xf numFmtId="4" fontId="7" fillId="9" borderId="17" xfId="0" applyNumberFormat="1" applyFont="1" applyFill="1" applyBorder="1" applyAlignment="1">
      <alignment horizontal="right" vertical="top" wrapText="1"/>
    </xf>
    <xf numFmtId="14" fontId="7" fillId="9" borderId="17" xfId="0" applyNumberFormat="1" applyFont="1" applyFill="1" applyBorder="1" applyAlignment="1">
      <alignment horizontal="right" vertical="top" wrapText="1"/>
    </xf>
    <xf numFmtId="14" fontId="9" fillId="9" borderId="17" xfId="0" applyNumberFormat="1" applyFont="1" applyFill="1" applyBorder="1" applyAlignment="1">
      <alignment horizontal="right" vertical="top" wrapText="1"/>
    </xf>
    <xf numFmtId="0" fontId="7" fillId="9" borderId="1" xfId="0" applyFont="1" applyFill="1" applyBorder="1" applyAlignment="1">
      <alignment horizontal="left" vertical="top" wrapText="1"/>
    </xf>
    <xf numFmtId="0" fontId="7" fillId="9" borderId="1" xfId="0" applyFont="1" applyFill="1" applyBorder="1" applyAlignment="1">
      <alignment horizontal="right" vertical="top" wrapText="1"/>
    </xf>
    <xf numFmtId="4" fontId="7" fillId="9" borderId="1" xfId="0" applyNumberFormat="1" applyFont="1" applyFill="1" applyBorder="1" applyAlignment="1">
      <alignment horizontal="right" vertical="top" wrapText="1"/>
    </xf>
    <xf numFmtId="14" fontId="7" fillId="9" borderId="1" xfId="0" applyNumberFormat="1" applyFont="1" applyFill="1" applyBorder="1" applyAlignment="1">
      <alignment horizontal="right" vertical="top" wrapText="1"/>
    </xf>
    <xf numFmtId="0" fontId="7" fillId="10" borderId="1" xfId="0" applyFont="1" applyFill="1" applyBorder="1" applyAlignment="1">
      <alignment horizontal="center" vertical="top" wrapText="1"/>
    </xf>
    <xf numFmtId="0" fontId="7" fillId="10" borderId="7" xfId="0" applyFont="1" applyFill="1" applyBorder="1" applyAlignment="1">
      <alignment horizontal="left" vertical="top" wrapText="1"/>
    </xf>
    <xf numFmtId="0" fontId="7" fillId="10" borderId="7" xfId="0" applyFont="1" applyFill="1" applyBorder="1" applyAlignment="1">
      <alignment horizontal="right" vertical="top" wrapText="1"/>
    </xf>
    <xf numFmtId="4" fontId="7" fillId="10" borderId="7" xfId="0" applyNumberFormat="1" applyFont="1" applyFill="1" applyBorder="1" applyAlignment="1">
      <alignment horizontal="right" vertical="top" wrapText="1"/>
    </xf>
    <xf numFmtId="14" fontId="7" fillId="10" borderId="7" xfId="0" applyNumberFormat="1" applyFont="1" applyFill="1" applyBorder="1" applyAlignment="1">
      <alignment horizontal="right" vertical="top" wrapText="1"/>
    </xf>
    <xf numFmtId="4" fontId="7" fillId="10" borderId="1" xfId="0" applyNumberFormat="1" applyFont="1" applyFill="1" applyBorder="1" applyAlignment="1">
      <alignment vertical="top" wrapText="1"/>
    </xf>
    <xf numFmtId="43" fontId="7" fillId="10" borderId="1" xfId="0" applyNumberFormat="1" applyFont="1" applyFill="1" applyBorder="1" applyAlignment="1">
      <alignment vertical="top" wrapText="1"/>
    </xf>
    <xf numFmtId="9" fontId="7" fillId="10" borderId="1" xfId="2" applyFont="1" applyFill="1" applyBorder="1" applyAlignment="1">
      <alignment vertical="top"/>
    </xf>
    <xf numFmtId="4" fontId="9" fillId="9" borderId="7" xfId="0" applyNumberFormat="1" applyFont="1" applyFill="1" applyBorder="1" applyAlignment="1">
      <alignment vertical="top" wrapText="1"/>
    </xf>
    <xf numFmtId="0" fontId="7" fillId="9" borderId="7" xfId="0" applyFont="1" applyFill="1" applyBorder="1" applyAlignment="1">
      <alignment horizontal="center" vertical="top" wrapText="1"/>
    </xf>
    <xf numFmtId="0" fontId="7" fillId="9" borderId="7" xfId="0" applyFont="1" applyFill="1" applyBorder="1" applyAlignment="1">
      <alignment vertical="top" wrapText="1"/>
    </xf>
    <xf numFmtId="14" fontId="9" fillId="9" borderId="7" xfId="0" applyNumberFormat="1" applyFont="1" applyFill="1" applyBorder="1" applyAlignment="1">
      <alignment horizontal="right" vertical="top" wrapText="1"/>
    </xf>
    <xf numFmtId="43" fontId="9" fillId="9" borderId="7" xfId="1" applyFont="1" applyFill="1" applyBorder="1" applyAlignment="1">
      <alignment horizontal="right" vertical="top" wrapText="1"/>
    </xf>
    <xf numFmtId="0" fontId="9" fillId="9" borderId="7" xfId="0" applyFont="1" applyFill="1" applyBorder="1" applyAlignment="1">
      <alignment vertical="top" wrapText="1"/>
    </xf>
    <xf numFmtId="14" fontId="9" fillId="10" borderId="20" xfId="0" applyNumberFormat="1" applyFont="1" applyFill="1" applyBorder="1" applyAlignment="1">
      <alignment horizontal="right" vertical="top" wrapText="1"/>
    </xf>
    <xf numFmtId="43" fontId="9" fillId="10" borderId="12" xfId="1" applyFont="1" applyFill="1" applyBorder="1" applyAlignment="1">
      <alignment horizontal="right" vertical="top" wrapText="1"/>
    </xf>
    <xf numFmtId="0" fontId="9" fillId="10" borderId="12" xfId="0" applyFont="1" applyFill="1" applyBorder="1" applyAlignment="1">
      <alignment vertical="top" wrapText="1"/>
    </xf>
    <xf numFmtId="0" fontId="9" fillId="10" borderId="19" xfId="0" applyFont="1" applyFill="1" applyBorder="1" applyAlignment="1">
      <alignment vertical="top" wrapText="1"/>
    </xf>
    <xf numFmtId="14" fontId="9" fillId="9" borderId="21" xfId="0" applyNumberFormat="1" applyFont="1" applyFill="1" applyBorder="1" applyAlignment="1">
      <alignment horizontal="right" vertical="top" wrapText="1"/>
    </xf>
    <xf numFmtId="0" fontId="9" fillId="9" borderId="12" xfId="0" applyFont="1" applyFill="1" applyBorder="1" applyAlignment="1">
      <alignment horizontal="center" vertical="top"/>
    </xf>
    <xf numFmtId="0" fontId="9" fillId="9" borderId="12" xfId="0" applyFont="1" applyFill="1" applyBorder="1" applyAlignment="1">
      <alignment vertical="top"/>
    </xf>
    <xf numFmtId="0" fontId="9" fillId="9" borderId="12" xfId="0" applyFont="1" applyFill="1" applyBorder="1" applyAlignment="1">
      <alignment vertical="top" wrapText="1"/>
    </xf>
    <xf numFmtId="0" fontId="9" fillId="9" borderId="6" xfId="0" applyFont="1" applyFill="1" applyBorder="1" applyAlignment="1">
      <alignment vertical="top" wrapText="1"/>
    </xf>
    <xf numFmtId="43" fontId="9" fillId="9" borderId="12" xfId="1" applyFont="1" applyFill="1" applyBorder="1" applyAlignment="1">
      <alignment horizontal="right" vertical="top" wrapText="1"/>
    </xf>
    <xf numFmtId="0" fontId="7" fillId="9" borderId="7" xfId="0" applyFont="1" applyFill="1" applyBorder="1" applyAlignment="1">
      <alignment horizontal="left" vertical="top" wrapText="1"/>
    </xf>
    <xf numFmtId="0" fontId="7" fillId="9" borderId="7" xfId="0" applyFont="1" applyFill="1" applyBorder="1" applyAlignment="1">
      <alignment horizontal="right" vertical="top" wrapText="1"/>
    </xf>
    <xf numFmtId="4" fontId="7" fillId="9" borderId="7" xfId="0" applyNumberFormat="1" applyFont="1" applyFill="1" applyBorder="1" applyAlignment="1">
      <alignment horizontal="right" vertical="top" wrapText="1"/>
    </xf>
    <xf numFmtId="14" fontId="7" fillId="9" borderId="7" xfId="0" applyNumberFormat="1" applyFont="1" applyFill="1" applyBorder="1" applyAlignment="1">
      <alignment horizontal="right" vertical="top" wrapText="1"/>
    </xf>
    <xf numFmtId="9" fontId="9" fillId="10" borderId="1" xfId="0" applyNumberFormat="1" applyFont="1" applyFill="1" applyBorder="1" applyAlignment="1">
      <alignment horizontal="center" vertical="top" wrapText="1"/>
    </xf>
    <xf numFmtId="0" fontId="7" fillId="10" borderId="1" xfId="0" applyFont="1" applyFill="1" applyBorder="1" applyAlignment="1">
      <alignment horizontal="left" vertical="top" wrapText="1"/>
    </xf>
    <xf numFmtId="0" fontId="7" fillId="10" borderId="1" xfId="0" applyFont="1" applyFill="1" applyBorder="1" applyAlignment="1">
      <alignment horizontal="right" vertical="top" wrapText="1"/>
    </xf>
    <xf numFmtId="4" fontId="7" fillId="10" borderId="1" xfId="0" applyNumberFormat="1" applyFont="1" applyFill="1" applyBorder="1" applyAlignment="1">
      <alignment horizontal="right" vertical="top" wrapText="1"/>
    </xf>
    <xf numFmtId="14" fontId="7" fillId="10" borderId="1" xfId="0" applyNumberFormat="1" applyFont="1" applyFill="1" applyBorder="1" applyAlignment="1">
      <alignment horizontal="right" vertical="top" wrapText="1"/>
    </xf>
    <xf numFmtId="14" fontId="9" fillId="10" borderId="1" xfId="0" applyNumberFormat="1" applyFont="1" applyFill="1" applyBorder="1" applyAlignment="1">
      <alignment horizontal="right" vertical="top" wrapText="1"/>
    </xf>
    <xf numFmtId="0" fontId="9" fillId="9" borderId="0" xfId="0" applyFont="1" applyFill="1" applyAlignment="1">
      <alignment vertical="top"/>
    </xf>
    <xf numFmtId="4" fontId="9" fillId="9" borderId="7" xfId="0" applyNumberFormat="1" applyFont="1" applyFill="1" applyBorder="1" applyAlignment="1">
      <alignment horizontal="center" vertical="top" wrapText="1"/>
    </xf>
    <xf numFmtId="14" fontId="9" fillId="9" borderId="1" xfId="0" applyNumberFormat="1" applyFont="1" applyFill="1" applyBorder="1" applyAlignment="1">
      <alignment vertical="top" wrapText="1"/>
    </xf>
    <xf numFmtId="4" fontId="9" fillId="9" borderId="1" xfId="1" applyNumberFormat="1" applyFont="1" applyFill="1" applyBorder="1" applyAlignment="1">
      <alignment horizontal="right" vertical="top" wrapText="1"/>
    </xf>
    <xf numFmtId="14" fontId="9" fillId="10" borderId="1" xfId="0" applyNumberFormat="1" applyFont="1" applyFill="1" applyBorder="1" applyAlignment="1">
      <alignment vertical="top" wrapText="1"/>
    </xf>
    <xf numFmtId="4" fontId="9" fillId="10" borderId="1" xfId="1" applyNumberFormat="1" applyFont="1" applyFill="1" applyBorder="1" applyAlignment="1">
      <alignment horizontal="right" vertical="top" wrapText="1"/>
    </xf>
    <xf numFmtId="2" fontId="9" fillId="9" borderId="1" xfId="0" applyNumberFormat="1" applyFont="1" applyFill="1" applyBorder="1" applyAlignment="1">
      <alignment vertical="top" wrapText="1"/>
    </xf>
    <xf numFmtId="4" fontId="9" fillId="10" borderId="1" xfId="0" applyNumberFormat="1" applyFont="1" applyFill="1" applyBorder="1" applyAlignment="1">
      <alignment horizontal="right" vertical="top" wrapText="1"/>
    </xf>
    <xf numFmtId="4" fontId="11" fillId="10" borderId="1" xfId="0" applyNumberFormat="1" applyFont="1" applyFill="1" applyBorder="1" applyAlignment="1">
      <alignment horizontal="right" vertical="top" wrapText="1"/>
    </xf>
    <xf numFmtId="0" fontId="9" fillId="9" borderId="9" xfId="0" applyFont="1" applyFill="1" applyBorder="1" applyAlignment="1">
      <alignment horizontal="left" vertical="top" wrapText="1"/>
    </xf>
    <xf numFmtId="0" fontId="9" fillId="10" borderId="13" xfId="0" applyFont="1" applyFill="1" applyBorder="1" applyAlignment="1">
      <alignment horizontal="left" vertical="top" wrapText="1"/>
    </xf>
    <xf numFmtId="0" fontId="9" fillId="9" borderId="13" xfId="0" applyFont="1" applyFill="1" applyBorder="1" applyAlignment="1">
      <alignment horizontal="left" vertical="top" wrapText="1"/>
    </xf>
    <xf numFmtId="0" fontId="9" fillId="9" borderId="13" xfId="0" applyFont="1" applyFill="1" applyBorder="1" applyAlignment="1">
      <alignment horizontal="left" vertical="top"/>
    </xf>
    <xf numFmtId="9" fontId="9" fillId="9" borderId="13" xfId="2" applyFont="1" applyFill="1" applyBorder="1" applyAlignment="1">
      <alignment horizontal="left" vertical="top" wrapText="1"/>
    </xf>
    <xf numFmtId="9" fontId="9" fillId="10" borderId="13" xfId="2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left" vertical="top"/>
    </xf>
    <xf numFmtId="0" fontId="4" fillId="3" borderId="0" xfId="0" applyFont="1" applyFill="1" applyBorder="1" applyAlignment="1">
      <alignment horizontal="left" vertical="top"/>
    </xf>
    <xf numFmtId="0" fontId="10" fillId="0" borderId="0" xfId="0" applyFont="1" applyBorder="1" applyAlignment="1">
      <alignment horizontal="right" vertical="top"/>
    </xf>
    <xf numFmtId="0" fontId="5" fillId="7" borderId="6" xfId="0" applyFont="1" applyFill="1" applyBorder="1" applyAlignment="1">
      <alignment horizontal="center" vertical="top"/>
    </xf>
    <xf numFmtId="0" fontId="5" fillId="7" borderId="1" xfId="0" applyFont="1" applyFill="1" applyBorder="1" applyAlignment="1">
      <alignment horizontal="center" vertical="top"/>
    </xf>
    <xf numFmtId="0" fontId="6" fillId="2" borderId="8" xfId="0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horizontal="center" vertical="top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0" fontId="6" fillId="5" borderId="1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0" fillId="0" borderId="0" xfId="0" applyAlignment="1"/>
    <xf numFmtId="43" fontId="9" fillId="9" borderId="7" xfId="1" applyFont="1" applyFill="1" applyBorder="1" applyAlignment="1">
      <alignment horizontal="center" vertical="top" wrapText="1"/>
    </xf>
    <xf numFmtId="43" fontId="9" fillId="9" borderId="17" xfId="1" applyFont="1" applyFill="1" applyBorder="1" applyAlignment="1">
      <alignment horizontal="center" vertical="top" wrapText="1"/>
    </xf>
    <xf numFmtId="0" fontId="9" fillId="9" borderId="13" xfId="0" applyFont="1" applyFill="1" applyBorder="1" applyAlignment="1">
      <alignment horizontal="left" vertical="top" wrapText="1"/>
    </xf>
    <xf numFmtId="9" fontId="9" fillId="9" borderId="1" xfId="2" applyFont="1" applyFill="1" applyBorder="1" applyAlignment="1">
      <alignment horizontal="center" vertical="top" wrapText="1"/>
    </xf>
    <xf numFmtId="0" fontId="7" fillId="7" borderId="6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/>
    </xf>
    <xf numFmtId="0" fontId="6" fillId="5" borderId="8" xfId="0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top" wrapText="1"/>
    </xf>
    <xf numFmtId="14" fontId="9" fillId="9" borderId="7" xfId="0" applyNumberFormat="1" applyFont="1" applyFill="1" applyBorder="1" applyAlignment="1">
      <alignment horizontal="center" vertical="top" wrapText="1"/>
    </xf>
    <xf numFmtId="14" fontId="9" fillId="9" borderId="17" xfId="0" applyNumberFormat="1" applyFont="1" applyFill="1" applyBorder="1" applyAlignment="1">
      <alignment horizontal="center" vertical="top" wrapText="1"/>
    </xf>
    <xf numFmtId="4" fontId="9" fillId="9" borderId="7" xfId="0" applyNumberFormat="1" applyFont="1" applyFill="1" applyBorder="1" applyAlignment="1">
      <alignment horizontal="center" vertical="top" wrapText="1"/>
    </xf>
    <xf numFmtId="4" fontId="9" fillId="9" borderId="17" xfId="0" applyNumberFormat="1" applyFont="1" applyFill="1" applyBorder="1" applyAlignment="1">
      <alignment horizontal="center" vertical="top" wrapText="1"/>
    </xf>
    <xf numFmtId="0" fontId="6" fillId="5" borderId="11" xfId="0" applyFont="1" applyFill="1" applyBorder="1" applyAlignment="1">
      <alignment horizontal="center" vertical="center" wrapText="1"/>
    </xf>
    <xf numFmtId="0" fontId="6" fillId="5" borderId="16" xfId="0" applyFont="1" applyFill="1" applyBorder="1" applyAlignment="1">
      <alignment horizontal="center" vertical="center" wrapText="1"/>
    </xf>
  </cellXfs>
  <cellStyles count="3">
    <cellStyle name="Comma" xfId="1" builtinId="3"/>
    <cellStyle name="Normal" xfId="0" builtinId="0"/>
    <cellStyle name="Percent" xfId="2" builtinId="5"/>
  </cellStyles>
  <dxfs count="4"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84"/>
  <sheetViews>
    <sheetView tabSelected="1" zoomScaleNormal="100" workbookViewId="0">
      <selection activeCell="M6" sqref="M6"/>
    </sheetView>
  </sheetViews>
  <sheetFormatPr defaultColWidth="8.88671875" defaultRowHeight="15.6" x14ac:dyDescent="0.35"/>
  <cols>
    <col min="1" max="1" width="4.33203125" style="1" customWidth="1"/>
    <col min="2" max="2" width="14.5546875" style="1" hidden="1" customWidth="1"/>
    <col min="3" max="3" width="15.5546875" style="1" customWidth="1"/>
    <col min="4" max="4" width="10.88671875" style="1" customWidth="1"/>
    <col min="5" max="5" width="11.44140625" style="1" customWidth="1"/>
    <col min="6" max="6" width="9.5546875" style="1" customWidth="1"/>
    <col min="7" max="7" width="8.88671875" style="1"/>
    <col min="8" max="9" width="14" style="1" customWidth="1"/>
    <col min="10" max="10" width="12.44140625" style="1" customWidth="1"/>
    <col min="11" max="11" width="12.109375" style="1" customWidth="1"/>
    <col min="12" max="12" width="14.109375" style="1" customWidth="1"/>
    <col min="13" max="13" width="10.33203125" style="12" customWidth="1"/>
    <col min="14" max="14" width="16" style="1" customWidth="1"/>
    <col min="15" max="15" width="16.109375" style="1" customWidth="1"/>
    <col min="16" max="16" width="18.5546875" style="1" customWidth="1"/>
    <col min="17" max="17" width="9.6640625" style="1" customWidth="1"/>
    <col min="18" max="18" width="14.88671875" style="1" customWidth="1"/>
    <col min="19" max="19" width="18.109375" style="1" customWidth="1"/>
    <col min="20" max="20" width="11.109375" style="1" customWidth="1"/>
    <col min="21" max="21" width="9" style="1" customWidth="1"/>
    <col min="22" max="22" width="15.33203125" style="1" customWidth="1"/>
    <col min="23" max="23" width="48.33203125" style="1" customWidth="1"/>
    <col min="24" max="24" width="18.109375" style="13" customWidth="1"/>
    <col min="25" max="28" width="15.6640625" style="1" customWidth="1"/>
    <col min="29" max="29" width="17.6640625" style="1" customWidth="1"/>
    <col min="30" max="30" width="14.5546875" style="1" customWidth="1"/>
    <col min="31" max="31" width="18.6640625" style="1" customWidth="1"/>
    <col min="32" max="16384" width="8.88671875" style="1"/>
  </cols>
  <sheetData>
    <row r="1" spans="1:31" customFormat="1" ht="33" customHeight="1" x14ac:dyDescent="0.3">
      <c r="A1" s="145" t="s">
        <v>352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X1" s="3"/>
    </row>
    <row r="2" spans="1:31" customFormat="1" ht="33" customHeight="1" x14ac:dyDescent="0.45">
      <c r="A2" s="161" t="s">
        <v>361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1"/>
      <c r="O2" s="161"/>
      <c r="P2" s="161"/>
      <c r="Q2" s="162"/>
      <c r="R2" s="162"/>
      <c r="S2" s="162"/>
      <c r="T2" s="162"/>
      <c r="U2" s="162"/>
      <c r="V2" s="162"/>
      <c r="W2" s="162"/>
      <c r="X2" s="162"/>
      <c r="Y2" s="162"/>
      <c r="Z2" s="162"/>
      <c r="AA2" s="162"/>
      <c r="AB2" s="162"/>
      <c r="AC2" s="162"/>
      <c r="AD2" s="162"/>
      <c r="AE2" s="162"/>
    </row>
    <row r="3" spans="1:31" customFormat="1" ht="18" customHeight="1" x14ac:dyDescent="0.35">
      <c r="A3" s="5"/>
      <c r="I3" s="4"/>
      <c r="J3" s="4"/>
      <c r="M3" s="2"/>
      <c r="X3" s="3"/>
    </row>
    <row r="4" spans="1:31" customFormat="1" ht="18" customHeight="1" x14ac:dyDescent="0.35">
      <c r="A4" s="5"/>
      <c r="I4" s="4"/>
      <c r="J4" s="4"/>
      <c r="M4" s="2"/>
      <c r="X4" s="3"/>
    </row>
    <row r="5" spans="1:31" customFormat="1" ht="18" customHeight="1" x14ac:dyDescent="0.35">
      <c r="A5" s="5"/>
      <c r="C5" s="6"/>
      <c r="D5" s="143" t="s">
        <v>0</v>
      </c>
      <c r="E5" s="144"/>
      <c r="F5" s="144"/>
      <c r="G5" s="144"/>
      <c r="H5" s="144"/>
      <c r="I5" s="7"/>
      <c r="J5" s="5" t="s">
        <v>1</v>
      </c>
      <c r="M5" s="2"/>
      <c r="X5" s="3"/>
    </row>
    <row r="6" spans="1:31" customFormat="1" ht="18" customHeight="1" x14ac:dyDescent="0.35">
      <c r="A6" s="5"/>
      <c r="C6" s="8"/>
      <c r="D6" s="143" t="s">
        <v>2</v>
      </c>
      <c r="E6" s="144"/>
      <c r="F6" s="144"/>
      <c r="G6" s="144"/>
      <c r="H6" s="144"/>
      <c r="I6" s="9"/>
      <c r="J6" s="5" t="s">
        <v>3</v>
      </c>
      <c r="M6" s="2"/>
      <c r="X6" s="3"/>
    </row>
    <row r="7" spans="1:31" customFormat="1" ht="18" customHeight="1" x14ac:dyDescent="0.35">
      <c r="A7" s="5"/>
      <c r="C7" s="10"/>
      <c r="D7" s="143" t="s">
        <v>4</v>
      </c>
      <c r="E7" s="144"/>
      <c r="F7" s="144"/>
      <c r="G7" s="144"/>
      <c r="H7" s="144"/>
      <c r="I7" s="11"/>
      <c r="J7" s="5" t="s">
        <v>5</v>
      </c>
      <c r="M7" s="2"/>
      <c r="X7" s="3"/>
    </row>
    <row r="8" spans="1:31" ht="16.2" thickBot="1" x14ac:dyDescent="0.4">
      <c r="AD8" s="1" t="s">
        <v>363</v>
      </c>
    </row>
    <row r="9" spans="1:31" ht="22.2" customHeight="1" thickBot="1" x14ac:dyDescent="0.4">
      <c r="A9" s="152" t="s">
        <v>364</v>
      </c>
      <c r="B9" s="153"/>
      <c r="C9" s="153"/>
      <c r="D9" s="153"/>
      <c r="E9" s="153"/>
      <c r="F9" s="153"/>
      <c r="G9" s="153"/>
      <c r="H9" s="153"/>
      <c r="I9" s="153"/>
      <c r="J9" s="153"/>
      <c r="K9" s="153"/>
      <c r="L9" s="153"/>
      <c r="M9" s="154" t="s">
        <v>362</v>
      </c>
      <c r="N9" s="155"/>
      <c r="O9" s="155"/>
      <c r="P9" s="155"/>
      <c r="Q9" s="155"/>
      <c r="R9" s="155"/>
      <c r="S9" s="155"/>
      <c r="T9" s="155"/>
      <c r="U9" s="155"/>
      <c r="V9" s="155"/>
      <c r="W9" s="156"/>
      <c r="X9" s="146" t="s">
        <v>4</v>
      </c>
      <c r="Y9" s="147"/>
      <c r="Z9" s="147"/>
      <c r="AA9" s="147"/>
      <c r="AB9" s="147"/>
      <c r="AC9" s="147"/>
      <c r="AD9" s="147"/>
      <c r="AE9" s="147"/>
    </row>
    <row r="10" spans="1:31" ht="55.5" customHeight="1" x14ac:dyDescent="0.35">
      <c r="A10" s="148" t="s">
        <v>6</v>
      </c>
      <c r="B10" s="150" t="s">
        <v>7</v>
      </c>
      <c r="C10" s="150" t="s">
        <v>8</v>
      </c>
      <c r="D10" s="150" t="s">
        <v>365</v>
      </c>
      <c r="E10" s="150" t="s">
        <v>367</v>
      </c>
      <c r="F10" s="150" t="s">
        <v>9</v>
      </c>
      <c r="G10" s="150" t="s">
        <v>10</v>
      </c>
      <c r="H10" s="150" t="s">
        <v>368</v>
      </c>
      <c r="I10" s="150" t="s">
        <v>11</v>
      </c>
      <c r="J10" s="150" t="s">
        <v>12</v>
      </c>
      <c r="K10" s="150" t="s">
        <v>13</v>
      </c>
      <c r="L10" s="157" t="s">
        <v>366</v>
      </c>
      <c r="M10" s="159" t="s">
        <v>14</v>
      </c>
      <c r="N10" s="14"/>
      <c r="O10" s="169" t="s">
        <v>15</v>
      </c>
      <c r="P10" s="169"/>
      <c r="Q10" s="169"/>
      <c r="R10" s="169"/>
      <c r="S10" s="169" t="s">
        <v>16</v>
      </c>
      <c r="T10" s="169"/>
      <c r="U10" s="169"/>
      <c r="V10" s="169"/>
      <c r="W10" s="175" t="s">
        <v>17</v>
      </c>
      <c r="X10" s="167" t="s">
        <v>18</v>
      </c>
      <c r="Y10" s="168" t="s">
        <v>19</v>
      </c>
      <c r="Z10" s="168"/>
      <c r="AA10" s="168"/>
      <c r="AB10" s="168" t="s">
        <v>20</v>
      </c>
      <c r="AC10" s="168"/>
      <c r="AD10" s="168"/>
      <c r="AE10" s="170" t="s">
        <v>21</v>
      </c>
    </row>
    <row r="11" spans="1:31" ht="75.75" customHeight="1" thickBot="1" x14ac:dyDescent="0.4">
      <c r="A11" s="149"/>
      <c r="B11" s="151"/>
      <c r="C11" s="151"/>
      <c r="D11" s="151"/>
      <c r="E11" s="151"/>
      <c r="F11" s="151"/>
      <c r="G11" s="151"/>
      <c r="H11" s="151"/>
      <c r="I11" s="151"/>
      <c r="J11" s="151"/>
      <c r="K11" s="151"/>
      <c r="L11" s="158"/>
      <c r="M11" s="160"/>
      <c r="N11" s="15" t="s">
        <v>369</v>
      </c>
      <c r="O11" s="15" t="s">
        <v>22</v>
      </c>
      <c r="P11" s="16" t="s">
        <v>23</v>
      </c>
      <c r="Q11" s="15" t="s">
        <v>370</v>
      </c>
      <c r="R11" s="15" t="s">
        <v>24</v>
      </c>
      <c r="S11" s="15" t="s">
        <v>22</v>
      </c>
      <c r="T11" s="15" t="s">
        <v>25</v>
      </c>
      <c r="U11" s="15" t="s">
        <v>26</v>
      </c>
      <c r="V11" s="15" t="s">
        <v>24</v>
      </c>
      <c r="W11" s="176"/>
      <c r="X11" s="167"/>
      <c r="Y11" s="17" t="s">
        <v>27</v>
      </c>
      <c r="Z11" s="17" t="s">
        <v>28</v>
      </c>
      <c r="AA11" s="17" t="s">
        <v>29</v>
      </c>
      <c r="AB11" s="17" t="s">
        <v>27</v>
      </c>
      <c r="AC11" s="17" t="s">
        <v>30</v>
      </c>
      <c r="AD11" s="17" t="s">
        <v>31</v>
      </c>
      <c r="AE11" s="170"/>
    </row>
    <row r="12" spans="1:31" s="40" customFormat="1" ht="27" customHeight="1" x14ac:dyDescent="0.3">
      <c r="A12" s="19">
        <v>1</v>
      </c>
      <c r="B12" s="20" t="s">
        <v>32</v>
      </c>
      <c r="C12" s="20" t="s">
        <v>33</v>
      </c>
      <c r="D12" s="19">
        <v>866.5</v>
      </c>
      <c r="E12" s="19">
        <v>866.5</v>
      </c>
      <c r="F12" s="21" t="s">
        <v>34</v>
      </c>
      <c r="G12" s="21" t="s">
        <v>35</v>
      </c>
      <c r="H12" s="22">
        <v>100</v>
      </c>
      <c r="I12" s="23">
        <v>2502019</v>
      </c>
      <c r="J12" s="24" t="s">
        <v>36</v>
      </c>
      <c r="K12" s="25" t="s">
        <v>37</v>
      </c>
      <c r="L12" s="26">
        <v>2502019</v>
      </c>
      <c r="M12" s="27">
        <v>2887.5</v>
      </c>
      <c r="N12" s="28">
        <f t="shared" ref="N12:N19" si="0">+M12*E12</f>
        <v>2502018.75</v>
      </c>
      <c r="O12" s="29"/>
      <c r="P12" s="30" t="s">
        <v>38</v>
      </c>
      <c r="Q12" s="31"/>
      <c r="R12" s="32">
        <v>4000000</v>
      </c>
      <c r="S12" s="33"/>
      <c r="T12" s="33" t="s">
        <v>39</v>
      </c>
      <c r="U12" s="33"/>
      <c r="V12" s="34" t="s">
        <v>39</v>
      </c>
      <c r="W12" s="137" t="s">
        <v>39</v>
      </c>
      <c r="X12" s="35">
        <f>R12/N12</f>
        <v>1.5987090424482231</v>
      </c>
      <c r="Y12" s="36">
        <f t="shared" ref="Y12:Y19" si="1">E12</f>
        <v>866.5</v>
      </c>
      <c r="Z12" s="37">
        <f t="shared" ref="Z12:Z19" si="2">L12</f>
        <v>2502019</v>
      </c>
      <c r="AA12" s="37">
        <f>Z12/Y12</f>
        <v>2887.5002885170225</v>
      </c>
      <c r="AB12" s="36">
        <f>Y12</f>
        <v>866.5</v>
      </c>
      <c r="AC12" s="38">
        <f>R12</f>
        <v>4000000</v>
      </c>
      <c r="AD12" s="38">
        <f>AC12/AB12</f>
        <v>4616.2723600692443</v>
      </c>
      <c r="AE12" s="39">
        <f>AD12/AA12</f>
        <v>1.5987088827063265</v>
      </c>
    </row>
    <row r="13" spans="1:31" s="40" customFormat="1" ht="27" customHeight="1" x14ac:dyDescent="0.3">
      <c r="A13" s="41">
        <v>2</v>
      </c>
      <c r="B13" s="42" t="s">
        <v>40</v>
      </c>
      <c r="C13" s="42" t="s">
        <v>41</v>
      </c>
      <c r="D13" s="41">
        <v>82.7</v>
      </c>
      <c r="E13" s="41">
        <v>82.7</v>
      </c>
      <c r="F13" s="43" t="s">
        <v>34</v>
      </c>
      <c r="G13" s="43" t="s">
        <v>35</v>
      </c>
      <c r="H13" s="44">
        <v>100</v>
      </c>
      <c r="I13" s="45">
        <v>565197</v>
      </c>
      <c r="J13" s="46" t="s">
        <v>36</v>
      </c>
      <c r="K13" s="47" t="s">
        <v>42</v>
      </c>
      <c r="L13" s="48">
        <v>565197</v>
      </c>
      <c r="M13" s="41">
        <v>5834.3</v>
      </c>
      <c r="N13" s="49">
        <f t="shared" si="0"/>
        <v>482496.61000000004</v>
      </c>
      <c r="O13" s="50"/>
      <c r="P13" s="51" t="s">
        <v>43</v>
      </c>
      <c r="Q13" s="50">
        <v>82.7</v>
      </c>
      <c r="R13" s="52">
        <v>0</v>
      </c>
      <c r="S13" s="53"/>
      <c r="T13" s="54" t="s">
        <v>44</v>
      </c>
      <c r="U13" s="54">
        <v>82.7</v>
      </c>
      <c r="V13" s="55">
        <v>1000000</v>
      </c>
      <c r="W13" s="138"/>
      <c r="X13" s="18">
        <f>V13/N13</f>
        <v>2.0725534216706722</v>
      </c>
      <c r="Y13" s="54">
        <f t="shared" si="1"/>
        <v>82.7</v>
      </c>
      <c r="Z13" s="55">
        <f t="shared" si="2"/>
        <v>565197</v>
      </c>
      <c r="AA13" s="55">
        <f t="shared" ref="AA13:AA19" si="3">Z13/Y13</f>
        <v>6834.304715840387</v>
      </c>
      <c r="AB13" s="54">
        <f t="shared" ref="AB13:AB18" si="4">Y13</f>
        <v>82.7</v>
      </c>
      <c r="AC13" s="56">
        <f>V13</f>
        <v>1000000</v>
      </c>
      <c r="AD13" s="57">
        <f t="shared" ref="AD13:AD19" si="5">AC13/AB13</f>
        <v>12091.898428053204</v>
      </c>
      <c r="AE13" s="58">
        <f>AD13/AA13</f>
        <v>1.7692945999359515</v>
      </c>
    </row>
    <row r="14" spans="1:31" s="40" customFormat="1" ht="27" customHeight="1" x14ac:dyDescent="0.3">
      <c r="A14" s="19">
        <v>3</v>
      </c>
      <c r="B14" s="20" t="s">
        <v>40</v>
      </c>
      <c r="C14" s="20" t="s">
        <v>45</v>
      </c>
      <c r="D14" s="19">
        <v>850.2</v>
      </c>
      <c r="E14" s="19">
        <v>850.2</v>
      </c>
      <c r="F14" s="21" t="s">
        <v>34</v>
      </c>
      <c r="G14" s="21" t="s">
        <v>35</v>
      </c>
      <c r="H14" s="22">
        <v>100</v>
      </c>
      <c r="I14" s="23">
        <v>3776418</v>
      </c>
      <c r="J14" s="24" t="s">
        <v>36</v>
      </c>
      <c r="K14" s="25" t="s">
        <v>42</v>
      </c>
      <c r="L14" s="26">
        <v>3776418</v>
      </c>
      <c r="M14" s="19">
        <v>4441.8</v>
      </c>
      <c r="N14" s="59">
        <f t="shared" si="0"/>
        <v>3776418.3600000003</v>
      </c>
      <c r="O14" s="60"/>
      <c r="P14" s="61" t="s">
        <v>39</v>
      </c>
      <c r="Q14" s="62"/>
      <c r="R14" s="63">
        <v>0</v>
      </c>
      <c r="S14" s="36"/>
      <c r="T14" s="36" t="s">
        <v>39</v>
      </c>
      <c r="U14" s="36"/>
      <c r="V14" s="37" t="s">
        <v>39</v>
      </c>
      <c r="W14" s="139" t="s">
        <v>39</v>
      </c>
      <c r="X14" s="64" t="s">
        <v>46</v>
      </c>
      <c r="Y14" s="36">
        <f t="shared" si="1"/>
        <v>850.2</v>
      </c>
      <c r="Z14" s="37">
        <f t="shared" si="2"/>
        <v>3776418</v>
      </c>
      <c r="AA14" s="37">
        <f t="shared" si="3"/>
        <v>4441.799576570219</v>
      </c>
      <c r="AB14" s="36"/>
      <c r="AC14" s="36"/>
      <c r="AD14" s="36"/>
      <c r="AE14" s="39"/>
    </row>
    <row r="15" spans="1:31" s="40" customFormat="1" ht="27" customHeight="1" x14ac:dyDescent="0.3">
      <c r="A15" s="41">
        <v>4</v>
      </c>
      <c r="B15" s="42" t="s">
        <v>40</v>
      </c>
      <c r="C15" s="42" t="s">
        <v>47</v>
      </c>
      <c r="D15" s="41">
        <v>18</v>
      </c>
      <c r="E15" s="41">
        <v>18</v>
      </c>
      <c r="F15" s="43" t="s">
        <v>34</v>
      </c>
      <c r="G15" s="43" t="s">
        <v>48</v>
      </c>
      <c r="H15" s="44">
        <v>100</v>
      </c>
      <c r="I15" s="45">
        <v>189248</v>
      </c>
      <c r="J15" s="46" t="s">
        <v>49</v>
      </c>
      <c r="K15" s="47" t="s">
        <v>50</v>
      </c>
      <c r="L15" s="48">
        <v>500000</v>
      </c>
      <c r="M15" s="41">
        <v>10513.8</v>
      </c>
      <c r="N15" s="65">
        <f t="shared" si="0"/>
        <v>189248.4</v>
      </c>
      <c r="O15" s="66"/>
      <c r="P15" s="67" t="s">
        <v>51</v>
      </c>
      <c r="Q15" s="66"/>
      <c r="R15" s="68">
        <v>500000</v>
      </c>
      <c r="S15" s="69"/>
      <c r="T15" s="69" t="s">
        <v>39</v>
      </c>
      <c r="U15" s="69"/>
      <c r="V15" s="70" t="s">
        <v>39</v>
      </c>
      <c r="W15" s="138" t="s">
        <v>39</v>
      </c>
      <c r="X15" s="18">
        <f>R15/L15</f>
        <v>1</v>
      </c>
      <c r="Y15" s="54">
        <f t="shared" si="1"/>
        <v>18</v>
      </c>
      <c r="Z15" s="55">
        <f t="shared" si="2"/>
        <v>500000</v>
      </c>
      <c r="AA15" s="55">
        <f t="shared" si="3"/>
        <v>27777.777777777777</v>
      </c>
      <c r="AB15" s="54">
        <f t="shared" si="4"/>
        <v>18</v>
      </c>
      <c r="AC15" s="57">
        <f>R15</f>
        <v>500000</v>
      </c>
      <c r="AD15" s="57">
        <f t="shared" si="5"/>
        <v>27777.777777777777</v>
      </c>
      <c r="AE15" s="58">
        <f>AD15/AA15</f>
        <v>1</v>
      </c>
    </row>
    <row r="16" spans="1:31" s="40" customFormat="1" ht="27" customHeight="1" x14ac:dyDescent="0.3">
      <c r="A16" s="19">
        <v>5</v>
      </c>
      <c r="B16" s="20" t="s">
        <v>32</v>
      </c>
      <c r="C16" s="20" t="s">
        <v>52</v>
      </c>
      <c r="D16" s="19">
        <v>5970.9</v>
      </c>
      <c r="E16" s="19">
        <v>5970.9</v>
      </c>
      <c r="F16" s="21" t="s">
        <v>34</v>
      </c>
      <c r="G16" s="21" t="s">
        <v>35</v>
      </c>
      <c r="H16" s="22">
        <v>100</v>
      </c>
      <c r="I16" s="23">
        <v>17240974</v>
      </c>
      <c r="J16" s="25">
        <v>45476</v>
      </c>
      <c r="K16" s="25">
        <v>45629</v>
      </c>
      <c r="L16" s="26">
        <v>17240974</v>
      </c>
      <c r="M16" s="19">
        <v>2887.5</v>
      </c>
      <c r="N16" s="59">
        <f t="shared" si="0"/>
        <v>17240973.75</v>
      </c>
      <c r="O16" s="60"/>
      <c r="P16" s="61" t="s">
        <v>53</v>
      </c>
      <c r="Q16" s="62"/>
      <c r="R16" s="63">
        <v>18000000</v>
      </c>
      <c r="S16" s="36"/>
      <c r="T16" s="36" t="s">
        <v>39</v>
      </c>
      <c r="U16" s="36"/>
      <c r="V16" s="37" t="s">
        <v>39</v>
      </c>
      <c r="W16" s="139" t="s">
        <v>39</v>
      </c>
      <c r="X16" s="35">
        <f>R16/L16</f>
        <v>1.0440245429289552</v>
      </c>
      <c r="Y16" s="36">
        <f t="shared" si="1"/>
        <v>5970.9</v>
      </c>
      <c r="Z16" s="37">
        <f t="shared" si="2"/>
        <v>17240974</v>
      </c>
      <c r="AA16" s="37">
        <f t="shared" si="3"/>
        <v>2887.500041869735</v>
      </c>
      <c r="AB16" s="36">
        <f t="shared" si="4"/>
        <v>5970.9</v>
      </c>
      <c r="AC16" s="38">
        <f>R16</f>
        <v>18000000</v>
      </c>
      <c r="AD16" s="38">
        <f t="shared" si="5"/>
        <v>3014.6209114203889</v>
      </c>
      <c r="AE16" s="39">
        <f>AD16/AA16</f>
        <v>1.0440245429289552</v>
      </c>
    </row>
    <row r="17" spans="1:31" s="40" customFormat="1" ht="27" customHeight="1" x14ac:dyDescent="0.3">
      <c r="A17" s="41">
        <v>6</v>
      </c>
      <c r="B17" s="42" t="s">
        <v>40</v>
      </c>
      <c r="C17" s="42" t="s">
        <v>54</v>
      </c>
      <c r="D17" s="41">
        <v>1133</v>
      </c>
      <c r="E17" s="41">
        <v>1133</v>
      </c>
      <c r="F17" s="43" t="s">
        <v>34</v>
      </c>
      <c r="G17" s="43" t="s">
        <v>35</v>
      </c>
      <c r="H17" s="44">
        <v>100</v>
      </c>
      <c r="I17" s="45">
        <v>5032559</v>
      </c>
      <c r="J17" s="46" t="s">
        <v>55</v>
      </c>
      <c r="K17" s="47">
        <v>45478</v>
      </c>
      <c r="L17" s="48">
        <v>5032559</v>
      </c>
      <c r="M17" s="41">
        <v>4441.8</v>
      </c>
      <c r="N17" s="65">
        <f t="shared" si="0"/>
        <v>5032559.4000000004</v>
      </c>
      <c r="O17" s="66"/>
      <c r="P17" s="67" t="s">
        <v>56</v>
      </c>
      <c r="Q17" s="66"/>
      <c r="R17" s="68">
        <v>5500000</v>
      </c>
      <c r="S17" s="69"/>
      <c r="T17" s="69" t="s">
        <v>39</v>
      </c>
      <c r="U17" s="69"/>
      <c r="V17" s="70" t="s">
        <v>39</v>
      </c>
      <c r="W17" s="138" t="s">
        <v>39</v>
      </c>
      <c r="X17" s="18">
        <f>R17/L17</f>
        <v>1.0928833621225305</v>
      </c>
      <c r="Y17" s="71">
        <f t="shared" si="1"/>
        <v>1133</v>
      </c>
      <c r="Z17" s="55">
        <f t="shared" si="2"/>
        <v>5032559</v>
      </c>
      <c r="AA17" s="55">
        <f t="shared" si="3"/>
        <v>4441.7996469549871</v>
      </c>
      <c r="AB17" s="71">
        <f t="shared" si="4"/>
        <v>1133</v>
      </c>
      <c r="AC17" s="57">
        <f>R17</f>
        <v>5500000</v>
      </c>
      <c r="AD17" s="57">
        <f t="shared" si="5"/>
        <v>4854.3689320388348</v>
      </c>
      <c r="AE17" s="58">
        <f>AD17/AA17</f>
        <v>1.0928833621225305</v>
      </c>
    </row>
    <row r="18" spans="1:31" s="40" customFormat="1" ht="27" customHeight="1" x14ac:dyDescent="0.3">
      <c r="A18" s="19">
        <v>7</v>
      </c>
      <c r="B18" s="20" t="s">
        <v>57</v>
      </c>
      <c r="C18" s="20" t="s">
        <v>58</v>
      </c>
      <c r="D18" s="19">
        <v>1191</v>
      </c>
      <c r="E18" s="19">
        <v>1191</v>
      </c>
      <c r="F18" s="21" t="s">
        <v>34</v>
      </c>
      <c r="G18" s="21" t="s">
        <v>35</v>
      </c>
      <c r="H18" s="22">
        <v>100</v>
      </c>
      <c r="I18" s="23">
        <v>2236341</v>
      </c>
      <c r="J18" s="24" t="s">
        <v>55</v>
      </c>
      <c r="K18" s="25">
        <v>45356</v>
      </c>
      <c r="L18" s="26">
        <v>2236341</v>
      </c>
      <c r="M18" s="19">
        <v>1877.7</v>
      </c>
      <c r="N18" s="59">
        <f t="shared" si="0"/>
        <v>2236340.7000000002</v>
      </c>
      <c r="O18" s="60"/>
      <c r="P18" s="61" t="s">
        <v>59</v>
      </c>
      <c r="Q18" s="62"/>
      <c r="R18" s="72" t="s">
        <v>60</v>
      </c>
      <c r="S18" s="36"/>
      <c r="T18" s="36" t="s">
        <v>39</v>
      </c>
      <c r="U18" s="36"/>
      <c r="V18" s="37" t="s">
        <v>39</v>
      </c>
      <c r="W18" s="139" t="s">
        <v>39</v>
      </c>
      <c r="X18" s="63" t="s">
        <v>60</v>
      </c>
      <c r="Y18" s="73">
        <f t="shared" si="1"/>
        <v>1191</v>
      </c>
      <c r="Z18" s="37">
        <f t="shared" si="2"/>
        <v>2236341</v>
      </c>
      <c r="AA18" s="37">
        <f t="shared" si="3"/>
        <v>1877.7002518891688</v>
      </c>
      <c r="AB18" s="73">
        <f t="shared" si="4"/>
        <v>1191</v>
      </c>
      <c r="AC18" s="38" t="str">
        <f>R18</f>
        <v>Նվիրատվություն</v>
      </c>
      <c r="AD18" s="38"/>
      <c r="AE18" s="74"/>
    </row>
    <row r="19" spans="1:31" s="40" customFormat="1" ht="27" customHeight="1" x14ac:dyDescent="0.3">
      <c r="A19" s="41">
        <v>8</v>
      </c>
      <c r="B19" s="42" t="s">
        <v>40</v>
      </c>
      <c r="C19" s="42" t="s">
        <v>61</v>
      </c>
      <c r="D19" s="41">
        <v>1216</v>
      </c>
      <c r="E19" s="41">
        <v>1216</v>
      </c>
      <c r="F19" s="43" t="s">
        <v>34</v>
      </c>
      <c r="G19" s="43" t="s">
        <v>35</v>
      </c>
      <c r="H19" s="44">
        <v>100</v>
      </c>
      <c r="I19" s="45">
        <v>3511200</v>
      </c>
      <c r="J19" s="46" t="s">
        <v>62</v>
      </c>
      <c r="K19" s="47" t="s">
        <v>63</v>
      </c>
      <c r="L19" s="48">
        <v>3511200</v>
      </c>
      <c r="M19" s="41">
        <v>2887.5</v>
      </c>
      <c r="N19" s="65">
        <f t="shared" si="0"/>
        <v>3511200</v>
      </c>
      <c r="O19" s="66"/>
      <c r="P19" s="67"/>
      <c r="Q19" s="66"/>
      <c r="R19" s="68"/>
      <c r="S19" s="69"/>
      <c r="T19" s="69" t="s">
        <v>39</v>
      </c>
      <c r="U19" s="69"/>
      <c r="V19" s="70" t="s">
        <v>39</v>
      </c>
      <c r="W19" s="138" t="s">
        <v>360</v>
      </c>
      <c r="X19" s="18">
        <f>SUM(R20:R21)/N19</f>
        <v>1.0822510822510822</v>
      </c>
      <c r="Y19" s="71">
        <f t="shared" si="1"/>
        <v>1216</v>
      </c>
      <c r="Z19" s="55">
        <f t="shared" si="2"/>
        <v>3511200</v>
      </c>
      <c r="AA19" s="55">
        <f t="shared" si="3"/>
        <v>2887.5</v>
      </c>
      <c r="AB19" s="71">
        <f>SUM(Q20:Q21)*10000</f>
        <v>1216</v>
      </c>
      <c r="AC19" s="54">
        <f>SUM(R20:R21)</f>
        <v>3800000</v>
      </c>
      <c r="AD19" s="57">
        <f t="shared" si="5"/>
        <v>3125</v>
      </c>
      <c r="AE19" s="58">
        <f>AD19/AA19</f>
        <v>1.0822510822510822</v>
      </c>
    </row>
    <row r="20" spans="1:31" s="40" customFormat="1" ht="23.4" customHeight="1" x14ac:dyDescent="0.3">
      <c r="A20" s="41"/>
      <c r="B20" s="42"/>
      <c r="C20" s="42"/>
      <c r="D20" s="41"/>
      <c r="E20" s="41"/>
      <c r="F20" s="43"/>
      <c r="G20" s="43"/>
      <c r="H20" s="44"/>
      <c r="I20" s="45"/>
      <c r="J20" s="46"/>
      <c r="K20" s="47"/>
      <c r="L20" s="48"/>
      <c r="M20" s="41"/>
      <c r="N20" s="65"/>
      <c r="O20" s="75" t="s">
        <v>64</v>
      </c>
      <c r="P20" s="76">
        <v>45559</v>
      </c>
      <c r="Q20" s="77">
        <v>6.1600000000000002E-2</v>
      </c>
      <c r="R20" s="68">
        <v>2000000</v>
      </c>
      <c r="S20" s="69"/>
      <c r="T20" s="69"/>
      <c r="U20" s="69"/>
      <c r="V20" s="70"/>
      <c r="W20" s="138"/>
      <c r="X20" s="78"/>
      <c r="Y20" s="54"/>
      <c r="Z20" s="55"/>
      <c r="AA20" s="55"/>
      <c r="AB20" s="54"/>
      <c r="AC20" s="57"/>
      <c r="AD20" s="57"/>
      <c r="AE20" s="50"/>
    </row>
    <row r="21" spans="1:31" s="40" customFormat="1" ht="23.4" customHeight="1" x14ac:dyDescent="0.3">
      <c r="A21" s="41"/>
      <c r="B21" s="42"/>
      <c r="C21" s="42"/>
      <c r="D21" s="41"/>
      <c r="E21" s="41"/>
      <c r="F21" s="43"/>
      <c r="G21" s="43"/>
      <c r="H21" s="44"/>
      <c r="I21" s="45"/>
      <c r="J21" s="46"/>
      <c r="K21" s="47"/>
      <c r="L21" s="48"/>
      <c r="M21" s="41"/>
      <c r="N21" s="65"/>
      <c r="O21" s="75" t="s">
        <v>65</v>
      </c>
      <c r="P21" s="76">
        <v>45517</v>
      </c>
      <c r="Q21" s="77">
        <v>0.06</v>
      </c>
      <c r="R21" s="68">
        <v>1800000</v>
      </c>
      <c r="S21" s="69"/>
      <c r="T21" s="69"/>
      <c r="U21" s="69"/>
      <c r="V21" s="70"/>
      <c r="W21" s="138"/>
      <c r="X21" s="78"/>
      <c r="Y21" s="54"/>
      <c r="Z21" s="55"/>
      <c r="AA21" s="55"/>
      <c r="AB21" s="54"/>
      <c r="AC21" s="57"/>
      <c r="AD21" s="57"/>
      <c r="AE21" s="50"/>
    </row>
    <row r="22" spans="1:31" s="40" customFormat="1" ht="63.75" customHeight="1" x14ac:dyDescent="0.3">
      <c r="A22" s="19">
        <v>9</v>
      </c>
      <c r="B22" s="20" t="s">
        <v>40</v>
      </c>
      <c r="C22" s="20" t="s">
        <v>66</v>
      </c>
      <c r="D22" s="19">
        <v>1209</v>
      </c>
      <c r="E22" s="19">
        <v>1209</v>
      </c>
      <c r="F22" s="21" t="s">
        <v>34</v>
      </c>
      <c r="G22" s="21" t="s">
        <v>35</v>
      </c>
      <c r="H22" s="22">
        <v>100</v>
      </c>
      <c r="I22" s="23">
        <v>3490988</v>
      </c>
      <c r="J22" s="24" t="s">
        <v>62</v>
      </c>
      <c r="K22" s="25" t="s">
        <v>63</v>
      </c>
      <c r="L22" s="26">
        <v>3490988</v>
      </c>
      <c r="M22" s="19">
        <v>2887.5</v>
      </c>
      <c r="N22" s="59">
        <f>+M22*E22</f>
        <v>3490987.5</v>
      </c>
      <c r="O22" s="60"/>
      <c r="P22" s="61"/>
      <c r="Q22" s="62"/>
      <c r="R22" s="63"/>
      <c r="S22" s="36"/>
      <c r="T22" s="36"/>
      <c r="U22" s="36"/>
      <c r="V22" s="37"/>
      <c r="W22" s="139" t="s">
        <v>359</v>
      </c>
      <c r="X22" s="35">
        <f>SUM(R23,R26)/N22</f>
        <v>1.2959083926825863</v>
      </c>
      <c r="Y22" s="73">
        <f>E22</f>
        <v>1209</v>
      </c>
      <c r="Z22" s="37">
        <f>L22</f>
        <v>3490988</v>
      </c>
      <c r="AA22" s="37">
        <f t="shared" ref="AA22" si="6">Z22/Y22</f>
        <v>2887.5004135649297</v>
      </c>
      <c r="AB22" s="73">
        <f>SUM(Q26,U24)*10000</f>
        <v>902.99999999999989</v>
      </c>
      <c r="AC22" s="38">
        <f>SUM(R26,V24)</f>
        <v>3324000</v>
      </c>
      <c r="AD22" s="38">
        <f t="shared" ref="AD22" si="7">AC22/AB22</f>
        <v>3681.0631229235887</v>
      </c>
      <c r="AE22" s="39">
        <f>AD22/AA22</f>
        <v>1.2748268729696632</v>
      </c>
    </row>
    <row r="23" spans="1:31" s="40" customFormat="1" ht="19.2" customHeight="1" x14ac:dyDescent="0.3">
      <c r="A23" s="19"/>
      <c r="B23" s="20"/>
      <c r="C23" s="20"/>
      <c r="D23" s="19"/>
      <c r="E23" s="19"/>
      <c r="F23" s="21"/>
      <c r="G23" s="21"/>
      <c r="H23" s="22"/>
      <c r="I23" s="23"/>
      <c r="J23" s="24"/>
      <c r="K23" s="25"/>
      <c r="L23" s="26"/>
      <c r="M23" s="19"/>
      <c r="N23" s="59"/>
      <c r="O23" s="60" t="s">
        <v>67</v>
      </c>
      <c r="P23" s="61" t="s">
        <v>68</v>
      </c>
      <c r="Q23" s="62">
        <v>6.0900000000000003E-2</v>
      </c>
      <c r="R23" s="63">
        <v>2400000</v>
      </c>
      <c r="S23" s="36"/>
      <c r="T23" s="36"/>
      <c r="U23" s="36"/>
      <c r="V23" s="37"/>
      <c r="W23" s="139"/>
      <c r="X23" s="64"/>
      <c r="Y23" s="36"/>
      <c r="Z23" s="37"/>
      <c r="AA23" s="37"/>
      <c r="AB23" s="36"/>
      <c r="AC23" s="38"/>
      <c r="AD23" s="38"/>
      <c r="AE23" s="74"/>
    </row>
    <row r="24" spans="1:31" s="40" customFormat="1" ht="19.2" customHeight="1" x14ac:dyDescent="0.3">
      <c r="A24" s="19"/>
      <c r="B24" s="20"/>
      <c r="C24" s="20"/>
      <c r="D24" s="19"/>
      <c r="E24" s="19"/>
      <c r="F24" s="21"/>
      <c r="G24" s="21"/>
      <c r="H24" s="22"/>
      <c r="I24" s="23"/>
      <c r="J24" s="24"/>
      <c r="K24" s="25"/>
      <c r="L24" s="26"/>
      <c r="M24" s="19"/>
      <c r="N24" s="59"/>
      <c r="O24" s="60"/>
      <c r="P24" s="61"/>
      <c r="Q24" s="62"/>
      <c r="R24" s="63"/>
      <c r="S24" s="60" t="s">
        <v>69</v>
      </c>
      <c r="T24" s="36" t="s">
        <v>70</v>
      </c>
      <c r="U24" s="36">
        <v>3.0300000000000001E-2</v>
      </c>
      <c r="V24" s="37">
        <v>1200000</v>
      </c>
      <c r="W24" s="140"/>
      <c r="X24" s="79"/>
      <c r="Y24" s="36"/>
      <c r="Z24" s="37"/>
      <c r="AA24" s="37"/>
      <c r="AB24" s="36"/>
      <c r="AC24" s="38"/>
      <c r="AD24" s="38"/>
      <c r="AE24" s="74"/>
    </row>
    <row r="25" spans="1:31" s="40" customFormat="1" ht="19.2" customHeight="1" x14ac:dyDescent="0.3">
      <c r="A25" s="19"/>
      <c r="B25" s="20"/>
      <c r="C25" s="20"/>
      <c r="D25" s="19"/>
      <c r="E25" s="19"/>
      <c r="F25" s="21"/>
      <c r="G25" s="21"/>
      <c r="H25" s="22"/>
      <c r="I25" s="23"/>
      <c r="J25" s="24"/>
      <c r="K25" s="25"/>
      <c r="L25" s="26"/>
      <c r="M25" s="19"/>
      <c r="N25" s="59"/>
      <c r="O25" s="60"/>
      <c r="P25" s="61"/>
      <c r="Q25" s="62"/>
      <c r="R25" s="63"/>
      <c r="S25" s="60" t="s">
        <v>71</v>
      </c>
      <c r="T25" s="36" t="s">
        <v>70</v>
      </c>
      <c r="U25" s="36">
        <v>3.0300000000000001E-2</v>
      </c>
      <c r="V25" s="37"/>
      <c r="W25" s="139"/>
      <c r="X25" s="64"/>
      <c r="Y25" s="36"/>
      <c r="Z25" s="37"/>
      <c r="AA25" s="37"/>
      <c r="AB25" s="36"/>
      <c r="AC25" s="38"/>
      <c r="AD25" s="38"/>
      <c r="AE25" s="74"/>
    </row>
    <row r="26" spans="1:31" s="40" customFormat="1" ht="19.2" customHeight="1" x14ac:dyDescent="0.3">
      <c r="A26" s="19"/>
      <c r="B26" s="20"/>
      <c r="C26" s="20"/>
      <c r="D26" s="19"/>
      <c r="E26" s="19"/>
      <c r="F26" s="21"/>
      <c r="G26" s="21"/>
      <c r="H26" s="22"/>
      <c r="I26" s="23"/>
      <c r="J26" s="24"/>
      <c r="K26" s="25"/>
      <c r="L26" s="26"/>
      <c r="M26" s="19"/>
      <c r="N26" s="59"/>
      <c r="O26" s="60" t="s">
        <v>72</v>
      </c>
      <c r="P26" s="61" t="s">
        <v>73</v>
      </c>
      <c r="Q26" s="62">
        <v>0.06</v>
      </c>
      <c r="R26" s="63">
        <v>2124000</v>
      </c>
      <c r="S26" s="36"/>
      <c r="T26" s="36"/>
      <c r="U26" s="36"/>
      <c r="V26" s="37"/>
      <c r="W26" s="139"/>
      <c r="X26" s="64"/>
      <c r="Y26" s="36"/>
      <c r="Z26" s="37"/>
      <c r="AA26" s="37"/>
      <c r="AB26" s="36"/>
      <c r="AC26" s="38"/>
      <c r="AD26" s="38"/>
      <c r="AE26" s="74"/>
    </row>
    <row r="27" spans="1:31" s="40" customFormat="1" ht="30" customHeight="1" x14ac:dyDescent="0.3">
      <c r="A27" s="41">
        <v>10</v>
      </c>
      <c r="B27" s="42" t="s">
        <v>32</v>
      </c>
      <c r="C27" s="42" t="s">
        <v>74</v>
      </c>
      <c r="D27" s="41">
        <v>780</v>
      </c>
      <c r="E27" s="41">
        <v>780</v>
      </c>
      <c r="F27" s="43" t="s">
        <v>34</v>
      </c>
      <c r="G27" s="43" t="s">
        <v>35</v>
      </c>
      <c r="H27" s="44">
        <v>100</v>
      </c>
      <c r="I27" s="45">
        <v>2252250</v>
      </c>
      <c r="J27" s="46">
        <v>45571</v>
      </c>
      <c r="K27" s="47" t="s">
        <v>62</v>
      </c>
      <c r="L27" s="48">
        <v>2252250</v>
      </c>
      <c r="M27" s="41">
        <v>2887.5</v>
      </c>
      <c r="N27" s="65">
        <f>+M27*E27</f>
        <v>2252250</v>
      </c>
      <c r="O27" s="53"/>
      <c r="P27" s="76">
        <v>45540</v>
      </c>
      <c r="Q27" s="75"/>
      <c r="R27" s="68">
        <v>2800000</v>
      </c>
      <c r="S27" s="69" t="s">
        <v>39</v>
      </c>
      <c r="T27" s="69" t="s">
        <v>39</v>
      </c>
      <c r="U27" s="69" t="s">
        <v>39</v>
      </c>
      <c r="V27" s="70" t="s">
        <v>39</v>
      </c>
      <c r="W27" s="138" t="s">
        <v>39</v>
      </c>
      <c r="X27" s="18">
        <f>R27/L27</f>
        <v>1.2432012432012431</v>
      </c>
      <c r="Y27" s="71">
        <f>E27</f>
        <v>780</v>
      </c>
      <c r="Z27" s="55">
        <f>L27</f>
        <v>2252250</v>
      </c>
      <c r="AA27" s="55">
        <f t="shared" ref="AA27:AA88" si="8">Z27/Y27</f>
        <v>2887.5</v>
      </c>
      <c r="AB27" s="71">
        <f t="shared" ref="AB27:AB40" si="9">Y27</f>
        <v>780</v>
      </c>
      <c r="AC27" s="57">
        <f>R27</f>
        <v>2800000</v>
      </c>
      <c r="AD27" s="57">
        <f t="shared" ref="AD27:AD88" si="10">AC27/AB27</f>
        <v>3589.7435897435898</v>
      </c>
      <c r="AE27" s="58">
        <f>AD27/AA27</f>
        <v>1.2432012432012431</v>
      </c>
    </row>
    <row r="28" spans="1:31" s="40" customFormat="1" ht="30" customHeight="1" x14ac:dyDescent="0.3">
      <c r="A28" s="19">
        <v>11</v>
      </c>
      <c r="B28" s="20" t="s">
        <v>75</v>
      </c>
      <c r="C28" s="20" t="s">
        <v>76</v>
      </c>
      <c r="D28" s="19">
        <v>979.5</v>
      </c>
      <c r="E28" s="19">
        <v>979.5</v>
      </c>
      <c r="F28" s="21" t="s">
        <v>34</v>
      </c>
      <c r="G28" s="21" t="s">
        <v>35</v>
      </c>
      <c r="H28" s="22">
        <v>100</v>
      </c>
      <c r="I28" s="23">
        <v>775764</v>
      </c>
      <c r="J28" s="24">
        <v>45571</v>
      </c>
      <c r="K28" s="25" t="s">
        <v>62</v>
      </c>
      <c r="L28" s="26">
        <v>775764</v>
      </c>
      <c r="M28" s="19">
        <v>792</v>
      </c>
      <c r="N28" s="59">
        <f>+M28*E28</f>
        <v>775764</v>
      </c>
      <c r="O28" s="80"/>
      <c r="P28" s="61" t="s">
        <v>77</v>
      </c>
      <c r="Q28" s="60"/>
      <c r="R28" s="63">
        <v>1026000</v>
      </c>
      <c r="S28" s="36"/>
      <c r="T28" s="36"/>
      <c r="U28" s="36"/>
      <c r="V28" s="37"/>
      <c r="W28" s="139"/>
      <c r="X28" s="35">
        <f>R28/L28</f>
        <v>1.3225671724906027</v>
      </c>
      <c r="Y28" s="73">
        <f>E28</f>
        <v>979.5</v>
      </c>
      <c r="Z28" s="37">
        <f>L28</f>
        <v>775764</v>
      </c>
      <c r="AA28" s="37">
        <f t="shared" si="8"/>
        <v>792</v>
      </c>
      <c r="AB28" s="73">
        <f t="shared" si="9"/>
        <v>979.5</v>
      </c>
      <c r="AC28" s="38">
        <f>R28</f>
        <v>1026000</v>
      </c>
      <c r="AD28" s="38">
        <f t="shared" si="10"/>
        <v>1047.4732006125573</v>
      </c>
      <c r="AE28" s="39">
        <f>AD28/AA28</f>
        <v>1.3225671724906027</v>
      </c>
    </row>
    <row r="29" spans="1:31" s="40" customFormat="1" ht="30" customHeight="1" x14ac:dyDescent="0.3">
      <c r="A29" s="41">
        <v>12</v>
      </c>
      <c r="B29" s="42" t="s">
        <v>78</v>
      </c>
      <c r="C29" s="42" t="s">
        <v>79</v>
      </c>
      <c r="D29" s="41">
        <v>1200</v>
      </c>
      <c r="E29" s="41">
        <v>1200</v>
      </c>
      <c r="F29" s="43" t="s">
        <v>34</v>
      </c>
      <c r="G29" s="43" t="s">
        <v>35</v>
      </c>
      <c r="H29" s="44">
        <v>100</v>
      </c>
      <c r="I29" s="45">
        <v>2253240</v>
      </c>
      <c r="J29" s="46">
        <v>45571</v>
      </c>
      <c r="K29" s="47" t="s">
        <v>80</v>
      </c>
      <c r="L29" s="48">
        <v>2253240</v>
      </c>
      <c r="M29" s="41">
        <v>1877.7</v>
      </c>
      <c r="N29" s="65">
        <f>+M29*E29</f>
        <v>2253240</v>
      </c>
      <c r="O29" s="53"/>
      <c r="P29" s="76">
        <v>45608</v>
      </c>
      <c r="Q29" s="75"/>
      <c r="R29" s="68">
        <v>2700000</v>
      </c>
      <c r="S29" s="69"/>
      <c r="T29" s="69"/>
      <c r="U29" s="69"/>
      <c r="V29" s="70"/>
      <c r="W29" s="138"/>
      <c r="X29" s="18">
        <f>R29/L29</f>
        <v>1.1982744847419715</v>
      </c>
      <c r="Y29" s="71">
        <f>E29</f>
        <v>1200</v>
      </c>
      <c r="Z29" s="55">
        <f>L29</f>
        <v>2253240</v>
      </c>
      <c r="AA29" s="55">
        <f t="shared" si="8"/>
        <v>1877.7</v>
      </c>
      <c r="AB29" s="71">
        <f t="shared" si="9"/>
        <v>1200</v>
      </c>
      <c r="AC29" s="57">
        <f>R29</f>
        <v>2700000</v>
      </c>
      <c r="AD29" s="57">
        <f t="shared" si="10"/>
        <v>2250</v>
      </c>
      <c r="AE29" s="58">
        <f>AD29/AA29</f>
        <v>1.1982744847419715</v>
      </c>
    </row>
    <row r="30" spans="1:31" s="40" customFormat="1" ht="30" customHeight="1" x14ac:dyDescent="0.3">
      <c r="A30" s="19">
        <v>13</v>
      </c>
      <c r="B30" s="20" t="s">
        <v>81</v>
      </c>
      <c r="C30" s="20" t="s">
        <v>82</v>
      </c>
      <c r="D30" s="19">
        <v>400</v>
      </c>
      <c r="E30" s="19">
        <v>400</v>
      </c>
      <c r="F30" s="21" t="s">
        <v>34</v>
      </c>
      <c r="G30" s="21" t="s">
        <v>35</v>
      </c>
      <c r="H30" s="22">
        <v>100</v>
      </c>
      <c r="I30" s="23">
        <v>316800</v>
      </c>
      <c r="J30" s="24" t="s">
        <v>83</v>
      </c>
      <c r="K30" s="25" t="s">
        <v>84</v>
      </c>
      <c r="L30" s="26">
        <v>316800</v>
      </c>
      <c r="M30" s="19">
        <v>792</v>
      </c>
      <c r="N30" s="59">
        <f>+M30*E30</f>
        <v>316800</v>
      </c>
      <c r="O30" s="80"/>
      <c r="P30" s="81">
        <v>45573</v>
      </c>
      <c r="Q30" s="60"/>
      <c r="R30" s="63">
        <v>450000</v>
      </c>
      <c r="S30" s="36"/>
      <c r="T30" s="36"/>
      <c r="U30" s="36"/>
      <c r="V30" s="37"/>
      <c r="W30" s="139"/>
      <c r="X30" s="35">
        <f>R30/L30</f>
        <v>1.4204545454545454</v>
      </c>
      <c r="Y30" s="73">
        <f>E30</f>
        <v>400</v>
      </c>
      <c r="Z30" s="37">
        <f>L30</f>
        <v>316800</v>
      </c>
      <c r="AA30" s="37">
        <f t="shared" si="8"/>
        <v>792</v>
      </c>
      <c r="AB30" s="73">
        <f t="shared" si="9"/>
        <v>400</v>
      </c>
      <c r="AC30" s="38">
        <f>R30</f>
        <v>450000</v>
      </c>
      <c r="AD30" s="38">
        <f t="shared" si="10"/>
        <v>1125</v>
      </c>
      <c r="AE30" s="39">
        <f>AD30/AA30</f>
        <v>1.4204545454545454</v>
      </c>
    </row>
    <row r="31" spans="1:31" s="40" customFormat="1" ht="39" customHeight="1" x14ac:dyDescent="0.3">
      <c r="A31" s="41">
        <v>14</v>
      </c>
      <c r="B31" s="42" t="s">
        <v>85</v>
      </c>
      <c r="C31" s="42" t="s">
        <v>86</v>
      </c>
      <c r="D31" s="41">
        <v>1511</v>
      </c>
      <c r="E31" s="41">
        <v>1511</v>
      </c>
      <c r="F31" s="43" t="s">
        <v>34</v>
      </c>
      <c r="G31" s="43" t="s">
        <v>35</v>
      </c>
      <c r="H31" s="44">
        <v>100</v>
      </c>
      <c r="I31" s="45">
        <v>4363013</v>
      </c>
      <c r="J31" s="46" t="s">
        <v>83</v>
      </c>
      <c r="K31" s="47" t="s">
        <v>87</v>
      </c>
      <c r="L31" s="48">
        <v>4363013</v>
      </c>
      <c r="M31" s="41">
        <v>2887.5</v>
      </c>
      <c r="N31" s="65">
        <f>+M31*E31</f>
        <v>4363012.5</v>
      </c>
      <c r="O31" s="53"/>
      <c r="P31" s="76"/>
      <c r="Q31" s="75"/>
      <c r="R31" s="69"/>
      <c r="S31" s="69"/>
      <c r="T31" s="69"/>
      <c r="U31" s="69"/>
      <c r="V31" s="70"/>
      <c r="W31" s="138" t="s">
        <v>358</v>
      </c>
      <c r="X31" s="78"/>
      <c r="Y31" s="71">
        <f>E31</f>
        <v>1511</v>
      </c>
      <c r="Z31" s="55">
        <f>L31</f>
        <v>4363013</v>
      </c>
      <c r="AA31" s="55">
        <f t="shared" si="8"/>
        <v>2887.5003309066842</v>
      </c>
      <c r="AB31" s="71">
        <f>0.06*10000</f>
        <v>600</v>
      </c>
      <c r="AC31" s="57">
        <v>350000</v>
      </c>
      <c r="AD31" s="57">
        <f t="shared" si="10"/>
        <v>583.33333333333337</v>
      </c>
      <c r="AE31" s="58">
        <f>AD31/AA31</f>
        <v>0.2020201788687466</v>
      </c>
    </row>
    <row r="32" spans="1:31" s="40" customFormat="1" ht="22.2" customHeight="1" x14ac:dyDescent="0.3">
      <c r="A32" s="41"/>
      <c r="B32" s="42"/>
      <c r="C32" s="42"/>
      <c r="D32" s="41"/>
      <c r="E32" s="41"/>
      <c r="F32" s="43"/>
      <c r="G32" s="43"/>
      <c r="H32" s="44"/>
      <c r="I32" s="45"/>
      <c r="J32" s="46"/>
      <c r="K32" s="47"/>
      <c r="L32" s="48"/>
      <c r="M32" s="41"/>
      <c r="N32" s="65"/>
      <c r="O32" s="53" t="s">
        <v>88</v>
      </c>
      <c r="P32" s="76">
        <v>45736</v>
      </c>
      <c r="Q32" s="82">
        <v>0.06</v>
      </c>
      <c r="R32" s="68">
        <v>350000</v>
      </c>
      <c r="S32" s="69"/>
      <c r="T32" s="69"/>
      <c r="U32" s="69"/>
      <c r="V32" s="70"/>
      <c r="W32" s="138"/>
      <c r="X32" s="18">
        <f>R32/((Q32/SUM(Q32:Q33))*N31)</f>
        <v>0.20202020202020202</v>
      </c>
      <c r="Y32" s="54"/>
      <c r="Z32" s="55"/>
      <c r="AA32" s="55"/>
      <c r="AB32" s="54"/>
      <c r="AC32" s="57"/>
      <c r="AD32" s="57"/>
      <c r="AE32" s="50"/>
    </row>
    <row r="33" spans="1:31" s="40" customFormat="1" ht="22.2" customHeight="1" x14ac:dyDescent="0.3">
      <c r="A33" s="41"/>
      <c r="B33" s="42"/>
      <c r="C33" s="42"/>
      <c r="D33" s="41"/>
      <c r="E33" s="41"/>
      <c r="F33" s="43"/>
      <c r="G33" s="43"/>
      <c r="H33" s="44"/>
      <c r="I33" s="45"/>
      <c r="J33" s="46"/>
      <c r="K33" s="47"/>
      <c r="L33" s="48"/>
      <c r="M33" s="41"/>
      <c r="N33" s="65"/>
      <c r="O33" s="53" t="s">
        <v>89</v>
      </c>
      <c r="P33" s="76"/>
      <c r="Q33" s="75">
        <v>9.11E-2</v>
      </c>
      <c r="R33" s="68">
        <v>0</v>
      </c>
      <c r="S33" s="69"/>
      <c r="T33" s="69"/>
      <c r="U33" s="69"/>
      <c r="V33" s="70"/>
      <c r="W33" s="138"/>
      <c r="X33" s="78"/>
      <c r="Y33" s="54"/>
      <c r="Z33" s="55"/>
      <c r="AA33" s="55"/>
      <c r="AB33" s="54"/>
      <c r="AC33" s="57"/>
      <c r="AD33" s="57"/>
      <c r="AE33" s="50"/>
    </row>
    <row r="34" spans="1:31" s="40" customFormat="1" ht="31.2" customHeight="1" x14ac:dyDescent="0.3">
      <c r="A34" s="19">
        <v>15</v>
      </c>
      <c r="B34" s="20" t="s">
        <v>90</v>
      </c>
      <c r="C34" s="20" t="s">
        <v>91</v>
      </c>
      <c r="D34" s="19">
        <v>410</v>
      </c>
      <c r="E34" s="19">
        <v>410</v>
      </c>
      <c r="F34" s="21" t="s">
        <v>34</v>
      </c>
      <c r="G34" s="21" t="s">
        <v>35</v>
      </c>
      <c r="H34" s="22">
        <v>100</v>
      </c>
      <c r="I34" s="23">
        <v>324720</v>
      </c>
      <c r="J34" s="24" t="s">
        <v>83</v>
      </c>
      <c r="K34" s="25" t="s">
        <v>84</v>
      </c>
      <c r="L34" s="26">
        <v>324720</v>
      </c>
      <c r="M34" s="19">
        <v>792</v>
      </c>
      <c r="N34" s="59">
        <f t="shared" ref="N34:N41" si="11">+M34*E34</f>
        <v>324720</v>
      </c>
      <c r="O34" s="80"/>
      <c r="P34" s="81" t="s">
        <v>39</v>
      </c>
      <c r="Q34" s="60"/>
      <c r="R34" s="63" t="s">
        <v>39</v>
      </c>
      <c r="S34" s="36"/>
      <c r="T34" s="36"/>
      <c r="U34" s="36"/>
      <c r="V34" s="37"/>
      <c r="W34" s="139"/>
      <c r="X34" s="64" t="s">
        <v>46</v>
      </c>
      <c r="Y34" s="73">
        <f t="shared" ref="Y34:Y41" si="12">E34</f>
        <v>410</v>
      </c>
      <c r="Z34" s="37">
        <f t="shared" ref="Z34:Z41" si="13">L34</f>
        <v>324720</v>
      </c>
      <c r="AA34" s="37">
        <f t="shared" si="8"/>
        <v>792</v>
      </c>
      <c r="AB34" s="73"/>
      <c r="AC34" s="38"/>
      <c r="AD34" s="38"/>
      <c r="AE34" s="39"/>
    </row>
    <row r="35" spans="1:31" s="40" customFormat="1" ht="31.2" customHeight="1" x14ac:dyDescent="0.3">
      <c r="A35" s="41">
        <v>16</v>
      </c>
      <c r="B35" s="42" t="s">
        <v>32</v>
      </c>
      <c r="C35" s="42" t="s">
        <v>92</v>
      </c>
      <c r="D35" s="41">
        <v>1654</v>
      </c>
      <c r="E35" s="41">
        <v>1654</v>
      </c>
      <c r="F35" s="43" t="s">
        <v>34</v>
      </c>
      <c r="G35" s="43" t="s">
        <v>35</v>
      </c>
      <c r="H35" s="44">
        <v>100</v>
      </c>
      <c r="I35" s="45">
        <v>4775925</v>
      </c>
      <c r="J35" s="46" t="s">
        <v>93</v>
      </c>
      <c r="K35" s="47">
        <v>45391</v>
      </c>
      <c r="L35" s="48">
        <v>4775925</v>
      </c>
      <c r="M35" s="41">
        <v>2887.5</v>
      </c>
      <c r="N35" s="65">
        <f t="shared" si="11"/>
        <v>4775925</v>
      </c>
      <c r="O35" s="53"/>
      <c r="P35" s="76">
        <v>45798</v>
      </c>
      <c r="Q35" s="75"/>
      <c r="R35" s="68">
        <v>7000000</v>
      </c>
      <c r="S35" s="69"/>
      <c r="T35" s="69"/>
      <c r="U35" s="69"/>
      <c r="V35" s="70"/>
      <c r="W35" s="138"/>
      <c r="X35" s="18">
        <f>R35/L35</f>
        <v>1.4656846579458429</v>
      </c>
      <c r="Y35" s="71">
        <f t="shared" si="12"/>
        <v>1654</v>
      </c>
      <c r="Z35" s="55">
        <f t="shared" si="13"/>
        <v>4775925</v>
      </c>
      <c r="AA35" s="55">
        <f t="shared" si="8"/>
        <v>2887.5</v>
      </c>
      <c r="AB35" s="71">
        <f t="shared" si="9"/>
        <v>1654</v>
      </c>
      <c r="AC35" s="57">
        <f t="shared" ref="AC35:AC40" si="14">R35</f>
        <v>7000000</v>
      </c>
      <c r="AD35" s="57">
        <f t="shared" si="10"/>
        <v>4232.1644498186215</v>
      </c>
      <c r="AE35" s="58">
        <f>AD35/AA35</f>
        <v>1.4656846579458429</v>
      </c>
    </row>
    <row r="36" spans="1:31" s="40" customFormat="1" ht="31.2" customHeight="1" x14ac:dyDescent="0.3">
      <c r="A36" s="19">
        <v>17</v>
      </c>
      <c r="B36" s="20" t="s">
        <v>40</v>
      </c>
      <c r="C36" s="20" t="s">
        <v>94</v>
      </c>
      <c r="D36" s="19">
        <v>606</v>
      </c>
      <c r="E36" s="19">
        <v>606</v>
      </c>
      <c r="F36" s="21" t="s">
        <v>34</v>
      </c>
      <c r="G36" s="21" t="s">
        <v>35</v>
      </c>
      <c r="H36" s="22">
        <v>100</v>
      </c>
      <c r="I36" s="23">
        <v>1749825</v>
      </c>
      <c r="J36" s="24" t="s">
        <v>95</v>
      </c>
      <c r="K36" s="25" t="s">
        <v>96</v>
      </c>
      <c r="L36" s="26">
        <v>1749825</v>
      </c>
      <c r="M36" s="19">
        <v>2887.5</v>
      </c>
      <c r="N36" s="59">
        <f t="shared" si="11"/>
        <v>1749825</v>
      </c>
      <c r="O36" s="80"/>
      <c r="P36" s="81">
        <v>45709</v>
      </c>
      <c r="Q36" s="60"/>
      <c r="R36" s="63">
        <v>1500000</v>
      </c>
      <c r="S36" s="36"/>
      <c r="T36" s="36"/>
      <c r="U36" s="36"/>
      <c r="V36" s="37"/>
      <c r="W36" s="139"/>
      <c r="X36" s="35">
        <f>R36/L36</f>
        <v>0.85722858000085722</v>
      </c>
      <c r="Y36" s="73">
        <f t="shared" si="12"/>
        <v>606</v>
      </c>
      <c r="Z36" s="37">
        <f t="shared" si="13"/>
        <v>1749825</v>
      </c>
      <c r="AA36" s="37">
        <f t="shared" si="8"/>
        <v>2887.5</v>
      </c>
      <c r="AB36" s="73">
        <f t="shared" si="9"/>
        <v>606</v>
      </c>
      <c r="AC36" s="38">
        <f t="shared" si="14"/>
        <v>1500000</v>
      </c>
      <c r="AD36" s="38">
        <f t="shared" si="10"/>
        <v>2475.2475247524753</v>
      </c>
      <c r="AE36" s="39">
        <f>AD36/AA36</f>
        <v>0.85722858000085722</v>
      </c>
    </row>
    <row r="37" spans="1:31" s="40" customFormat="1" ht="31.2" customHeight="1" x14ac:dyDescent="0.3">
      <c r="A37" s="41">
        <v>18</v>
      </c>
      <c r="B37" s="42" t="s">
        <v>81</v>
      </c>
      <c r="C37" s="42" t="s">
        <v>97</v>
      </c>
      <c r="D37" s="41">
        <v>2539.4</v>
      </c>
      <c r="E37" s="41">
        <v>2539.4</v>
      </c>
      <c r="F37" s="43" t="s">
        <v>34</v>
      </c>
      <c r="G37" s="43" t="s">
        <v>35</v>
      </c>
      <c r="H37" s="44">
        <v>100</v>
      </c>
      <c r="I37" s="45">
        <v>2011205</v>
      </c>
      <c r="J37" s="46" t="s">
        <v>95</v>
      </c>
      <c r="K37" s="47" t="s">
        <v>98</v>
      </c>
      <c r="L37" s="48">
        <v>2011205</v>
      </c>
      <c r="M37" s="41">
        <v>792</v>
      </c>
      <c r="N37" s="65">
        <f t="shared" si="11"/>
        <v>2011204.8</v>
      </c>
      <c r="O37" s="53"/>
      <c r="P37" s="76">
        <v>45701</v>
      </c>
      <c r="Q37" s="75"/>
      <c r="R37" s="68" t="s">
        <v>60</v>
      </c>
      <c r="S37" s="69"/>
      <c r="T37" s="69"/>
      <c r="U37" s="69"/>
      <c r="V37" s="70"/>
      <c r="W37" s="138" t="s">
        <v>99</v>
      </c>
      <c r="X37" s="52" t="s">
        <v>60</v>
      </c>
      <c r="Y37" s="71">
        <f t="shared" si="12"/>
        <v>2539.4</v>
      </c>
      <c r="Z37" s="55">
        <f t="shared" si="13"/>
        <v>2011205</v>
      </c>
      <c r="AA37" s="55">
        <f t="shared" si="8"/>
        <v>792.0000787587619</v>
      </c>
      <c r="AB37" s="71">
        <f t="shared" si="9"/>
        <v>2539.4</v>
      </c>
      <c r="AC37" s="57" t="str">
        <f t="shared" si="14"/>
        <v>Նվիրատվություն</v>
      </c>
      <c r="AD37" s="57"/>
      <c r="AE37" s="58"/>
    </row>
    <row r="38" spans="1:31" s="40" customFormat="1" ht="31.2" customHeight="1" x14ac:dyDescent="0.3">
      <c r="A38" s="19">
        <v>19</v>
      </c>
      <c r="B38" s="20" t="s">
        <v>81</v>
      </c>
      <c r="C38" s="20" t="s">
        <v>100</v>
      </c>
      <c r="D38" s="19">
        <v>707.1</v>
      </c>
      <c r="E38" s="19">
        <v>707.1</v>
      </c>
      <c r="F38" s="21" t="s">
        <v>34</v>
      </c>
      <c r="G38" s="21" t="s">
        <v>35</v>
      </c>
      <c r="H38" s="22">
        <v>100</v>
      </c>
      <c r="I38" s="23">
        <v>560100</v>
      </c>
      <c r="J38" s="24" t="s">
        <v>95</v>
      </c>
      <c r="K38" s="25" t="s">
        <v>98</v>
      </c>
      <c r="L38" s="26">
        <v>560100</v>
      </c>
      <c r="M38" s="19">
        <v>792</v>
      </c>
      <c r="N38" s="59">
        <f t="shared" si="11"/>
        <v>560023.20000000007</v>
      </c>
      <c r="O38" s="80"/>
      <c r="P38" s="81">
        <v>45701</v>
      </c>
      <c r="Q38" s="60"/>
      <c r="R38" s="63" t="s">
        <v>60</v>
      </c>
      <c r="S38" s="36"/>
      <c r="T38" s="36"/>
      <c r="U38" s="36"/>
      <c r="V38" s="37"/>
      <c r="W38" s="139" t="s">
        <v>101</v>
      </c>
      <c r="X38" s="63" t="s">
        <v>60</v>
      </c>
      <c r="Y38" s="73">
        <f t="shared" si="12"/>
        <v>707.1</v>
      </c>
      <c r="Z38" s="37">
        <f t="shared" si="13"/>
        <v>560100</v>
      </c>
      <c r="AA38" s="37">
        <f t="shared" si="8"/>
        <v>792.10861264319044</v>
      </c>
      <c r="AB38" s="73">
        <f t="shared" si="9"/>
        <v>707.1</v>
      </c>
      <c r="AC38" s="38" t="str">
        <f t="shared" si="14"/>
        <v>Նվիրատվություն</v>
      </c>
      <c r="AD38" s="38"/>
      <c r="AE38" s="74"/>
    </row>
    <row r="39" spans="1:31" s="40" customFormat="1" ht="31.2" customHeight="1" x14ac:dyDescent="0.3">
      <c r="A39" s="41">
        <v>20</v>
      </c>
      <c r="B39" s="42" t="s">
        <v>40</v>
      </c>
      <c r="C39" s="42" t="s">
        <v>102</v>
      </c>
      <c r="D39" s="41">
        <v>593</v>
      </c>
      <c r="E39" s="41">
        <v>593</v>
      </c>
      <c r="F39" s="43" t="s">
        <v>34</v>
      </c>
      <c r="G39" s="43" t="s">
        <v>35</v>
      </c>
      <c r="H39" s="44">
        <v>100</v>
      </c>
      <c r="I39" s="45">
        <v>1712288</v>
      </c>
      <c r="J39" s="46" t="s">
        <v>95</v>
      </c>
      <c r="K39" s="47" t="s">
        <v>96</v>
      </c>
      <c r="L39" s="48">
        <v>1712288</v>
      </c>
      <c r="M39" s="41">
        <v>2887.5</v>
      </c>
      <c r="N39" s="65">
        <f t="shared" si="11"/>
        <v>1712287.5</v>
      </c>
      <c r="O39" s="53"/>
      <c r="P39" s="76">
        <v>45611</v>
      </c>
      <c r="Q39" s="75"/>
      <c r="R39" s="68">
        <v>2500000</v>
      </c>
      <c r="S39" s="69"/>
      <c r="T39" s="69"/>
      <c r="U39" s="69"/>
      <c r="V39" s="70"/>
      <c r="W39" s="138"/>
      <c r="X39" s="18">
        <f>R39/L39</f>
        <v>1.4600347605075781</v>
      </c>
      <c r="Y39" s="71">
        <f t="shared" si="12"/>
        <v>593</v>
      </c>
      <c r="Z39" s="55">
        <f t="shared" si="13"/>
        <v>1712288</v>
      </c>
      <c r="AA39" s="55">
        <f t="shared" si="8"/>
        <v>2887.5008431703204</v>
      </c>
      <c r="AB39" s="71">
        <f t="shared" si="9"/>
        <v>593</v>
      </c>
      <c r="AC39" s="57">
        <f t="shared" si="14"/>
        <v>2500000</v>
      </c>
      <c r="AD39" s="57">
        <f t="shared" si="10"/>
        <v>4215.8516020236084</v>
      </c>
      <c r="AE39" s="58">
        <f>AD39/AA39</f>
        <v>1.4600347605075781</v>
      </c>
    </row>
    <row r="40" spans="1:31" s="40" customFormat="1" ht="31.2" customHeight="1" x14ac:dyDescent="0.3">
      <c r="A40" s="19">
        <v>21</v>
      </c>
      <c r="B40" s="20" t="s">
        <v>40</v>
      </c>
      <c r="C40" s="20" t="s">
        <v>103</v>
      </c>
      <c r="D40" s="19">
        <v>1078</v>
      </c>
      <c r="E40" s="19">
        <v>1078</v>
      </c>
      <c r="F40" s="21" t="s">
        <v>34</v>
      </c>
      <c r="G40" s="21" t="s">
        <v>35</v>
      </c>
      <c r="H40" s="22">
        <v>100</v>
      </c>
      <c r="I40" s="23">
        <v>3112725</v>
      </c>
      <c r="J40" s="24" t="s">
        <v>95</v>
      </c>
      <c r="K40" s="25" t="s">
        <v>104</v>
      </c>
      <c r="L40" s="26">
        <v>7324725</v>
      </c>
      <c r="M40" s="19">
        <v>2887.5</v>
      </c>
      <c r="N40" s="59">
        <f t="shared" si="11"/>
        <v>3112725</v>
      </c>
      <c r="O40" s="80"/>
      <c r="P40" s="81">
        <v>45649</v>
      </c>
      <c r="Q40" s="60"/>
      <c r="R40" s="63">
        <v>1000000</v>
      </c>
      <c r="S40" s="36"/>
      <c r="T40" s="36"/>
      <c r="U40" s="36"/>
      <c r="V40" s="37"/>
      <c r="W40" s="139"/>
      <c r="X40" s="35">
        <f>R40/L40</f>
        <v>0.13652389680158641</v>
      </c>
      <c r="Y40" s="73">
        <f t="shared" si="12"/>
        <v>1078</v>
      </c>
      <c r="Z40" s="37">
        <f t="shared" si="13"/>
        <v>7324725</v>
      </c>
      <c r="AA40" s="37">
        <f t="shared" si="8"/>
        <v>6794.7356215213358</v>
      </c>
      <c r="AB40" s="73">
        <f t="shared" si="9"/>
        <v>1078</v>
      </c>
      <c r="AC40" s="38">
        <f t="shared" si="14"/>
        <v>1000000</v>
      </c>
      <c r="AD40" s="38">
        <f t="shared" si="10"/>
        <v>927.64378478664196</v>
      </c>
      <c r="AE40" s="39">
        <f>AD40/AA40</f>
        <v>0.13652389680158641</v>
      </c>
    </row>
    <row r="41" spans="1:31" s="40" customFormat="1" ht="31.2" customHeight="1" x14ac:dyDescent="0.3">
      <c r="A41" s="41">
        <v>22</v>
      </c>
      <c r="B41" s="42" t="s">
        <v>40</v>
      </c>
      <c r="C41" s="42" t="s">
        <v>105</v>
      </c>
      <c r="D41" s="41">
        <v>1462</v>
      </c>
      <c r="E41" s="41">
        <v>1462</v>
      </c>
      <c r="F41" s="43" t="s">
        <v>34</v>
      </c>
      <c r="G41" s="43" t="s">
        <v>35</v>
      </c>
      <c r="H41" s="44">
        <v>100</v>
      </c>
      <c r="I41" s="45">
        <v>4221525</v>
      </c>
      <c r="J41" s="46">
        <v>45607</v>
      </c>
      <c r="K41" s="47" t="s">
        <v>106</v>
      </c>
      <c r="L41" s="48">
        <v>4221525</v>
      </c>
      <c r="M41" s="41">
        <v>2887.5</v>
      </c>
      <c r="N41" s="65">
        <f t="shared" si="11"/>
        <v>4221525</v>
      </c>
      <c r="O41" s="53"/>
      <c r="P41" s="76"/>
      <c r="Q41" s="75"/>
      <c r="R41" s="68"/>
      <c r="S41" s="69"/>
      <c r="T41" s="69"/>
      <c r="U41" s="69"/>
      <c r="V41" s="70"/>
      <c r="W41" s="138" t="s">
        <v>353</v>
      </c>
      <c r="X41" s="78"/>
      <c r="Y41" s="71">
        <f t="shared" si="12"/>
        <v>1462</v>
      </c>
      <c r="Z41" s="55">
        <f t="shared" si="13"/>
        <v>4221525</v>
      </c>
      <c r="AA41" s="55">
        <f t="shared" si="8"/>
        <v>2887.5</v>
      </c>
      <c r="AB41" s="71">
        <f>Q42*10000</f>
        <v>900</v>
      </c>
      <c r="AC41" s="57">
        <f>R42</f>
        <v>2000000</v>
      </c>
      <c r="AD41" s="57">
        <f t="shared" si="10"/>
        <v>2222.2222222222222</v>
      </c>
      <c r="AE41" s="58">
        <f>AD41/AA41</f>
        <v>0.76960076960076962</v>
      </c>
    </row>
    <row r="42" spans="1:31" s="40" customFormat="1" ht="22.95" customHeight="1" x14ac:dyDescent="0.3">
      <c r="A42" s="41"/>
      <c r="B42" s="42"/>
      <c r="C42" s="42"/>
      <c r="D42" s="41"/>
      <c r="E42" s="41"/>
      <c r="F42" s="43"/>
      <c r="G42" s="43"/>
      <c r="H42" s="44"/>
      <c r="I42" s="45"/>
      <c r="J42" s="46"/>
      <c r="K42" s="47"/>
      <c r="L42" s="48"/>
      <c r="M42" s="41"/>
      <c r="N42" s="65"/>
      <c r="O42" s="53" t="s">
        <v>107</v>
      </c>
      <c r="P42" s="76">
        <v>45656</v>
      </c>
      <c r="Q42" s="75">
        <v>0.09</v>
      </c>
      <c r="R42" s="68">
        <v>2000000</v>
      </c>
      <c r="S42" s="69"/>
      <c r="T42" s="69"/>
      <c r="U42" s="69"/>
      <c r="V42" s="70"/>
      <c r="W42" s="138"/>
      <c r="X42" s="18">
        <f>R42/((Q42/SUM(Q42:Q43))*L41)</f>
        <v>0.76907436688558439</v>
      </c>
      <c r="Y42" s="54"/>
      <c r="Z42" s="55"/>
      <c r="AA42" s="55"/>
      <c r="AB42" s="54"/>
      <c r="AC42" s="57"/>
      <c r="AD42" s="57"/>
      <c r="AE42" s="50"/>
    </row>
    <row r="43" spans="1:31" s="40" customFormat="1" ht="22.95" customHeight="1" x14ac:dyDescent="0.3">
      <c r="A43" s="41"/>
      <c r="B43" s="42"/>
      <c r="C43" s="42"/>
      <c r="D43" s="41"/>
      <c r="E43" s="41"/>
      <c r="F43" s="43"/>
      <c r="G43" s="43"/>
      <c r="H43" s="44"/>
      <c r="I43" s="45"/>
      <c r="J43" s="46"/>
      <c r="K43" s="47"/>
      <c r="L43" s="48"/>
      <c r="M43" s="41"/>
      <c r="N43" s="65"/>
      <c r="O43" s="53" t="s">
        <v>108</v>
      </c>
      <c r="P43" s="76"/>
      <c r="Q43" s="75">
        <v>5.6099999999999997E-2</v>
      </c>
      <c r="R43" s="68">
        <v>0</v>
      </c>
      <c r="S43" s="69"/>
      <c r="T43" s="69"/>
      <c r="U43" s="69"/>
      <c r="V43" s="70"/>
      <c r="W43" s="138"/>
      <c r="X43" s="78"/>
      <c r="Y43" s="54"/>
      <c r="Z43" s="55"/>
      <c r="AA43" s="55"/>
      <c r="AB43" s="54"/>
      <c r="AC43" s="57"/>
      <c r="AD43" s="57"/>
      <c r="AE43" s="50"/>
    </row>
    <row r="44" spans="1:31" s="40" customFormat="1" ht="39" customHeight="1" x14ac:dyDescent="0.3">
      <c r="A44" s="19">
        <v>23</v>
      </c>
      <c r="B44" s="20" t="s">
        <v>109</v>
      </c>
      <c r="C44" s="20" t="s">
        <v>110</v>
      </c>
      <c r="D44" s="19">
        <v>776.5</v>
      </c>
      <c r="E44" s="19">
        <v>776.5</v>
      </c>
      <c r="F44" s="21" t="s">
        <v>34</v>
      </c>
      <c r="G44" s="21" t="s">
        <v>35</v>
      </c>
      <c r="H44" s="22">
        <v>100</v>
      </c>
      <c r="I44" s="23">
        <v>3449058</v>
      </c>
      <c r="J44" s="24" t="s">
        <v>111</v>
      </c>
      <c r="K44" s="25" t="s">
        <v>106</v>
      </c>
      <c r="L44" s="26">
        <v>3449058</v>
      </c>
      <c r="M44" s="19">
        <v>4441.8</v>
      </c>
      <c r="N44" s="59">
        <f>+M44*E44</f>
        <v>3449057.7</v>
      </c>
      <c r="O44" s="80"/>
      <c r="P44" s="81">
        <v>45713</v>
      </c>
      <c r="Q44" s="60"/>
      <c r="R44" s="63">
        <v>3950000</v>
      </c>
      <c r="S44" s="36"/>
      <c r="T44" s="36"/>
      <c r="U44" s="36"/>
      <c r="V44" s="37"/>
      <c r="W44" s="139"/>
      <c r="X44" s="35">
        <f>R44/L44</f>
        <v>1.1452402366095322</v>
      </c>
      <c r="Y44" s="36">
        <f>E44</f>
        <v>776.5</v>
      </c>
      <c r="Z44" s="37">
        <f>L44</f>
        <v>3449058</v>
      </c>
      <c r="AA44" s="37">
        <f t="shared" si="8"/>
        <v>4441.8003863490021</v>
      </c>
      <c r="AB44" s="36">
        <f t="shared" ref="AB44:AB102" si="15">Y44</f>
        <v>776.5</v>
      </c>
      <c r="AC44" s="38">
        <f>R44</f>
        <v>3950000</v>
      </c>
      <c r="AD44" s="38">
        <f t="shared" si="10"/>
        <v>5086.9285254346423</v>
      </c>
      <c r="AE44" s="39">
        <f>AD44/AA44</f>
        <v>1.145240236609532</v>
      </c>
    </row>
    <row r="45" spans="1:31" s="40" customFormat="1" ht="31.95" customHeight="1" x14ac:dyDescent="0.3">
      <c r="A45" s="41">
        <v>24</v>
      </c>
      <c r="B45" s="42" t="s">
        <v>40</v>
      </c>
      <c r="C45" s="42" t="s">
        <v>112</v>
      </c>
      <c r="D45" s="41">
        <v>160.84</v>
      </c>
      <c r="E45" s="41">
        <v>160.84</v>
      </c>
      <c r="F45" s="43" t="s">
        <v>34</v>
      </c>
      <c r="G45" s="43" t="s">
        <v>35</v>
      </c>
      <c r="H45" s="44">
        <v>100</v>
      </c>
      <c r="I45" s="45">
        <v>1099229</v>
      </c>
      <c r="J45" s="46" t="s">
        <v>111</v>
      </c>
      <c r="K45" s="47" t="s">
        <v>113</v>
      </c>
      <c r="L45" s="48">
        <v>1099229</v>
      </c>
      <c r="M45" s="41">
        <v>5834.3</v>
      </c>
      <c r="N45" s="65">
        <f>+M45*E45</f>
        <v>938388.81200000003</v>
      </c>
      <c r="O45" s="53"/>
      <c r="P45" s="76">
        <v>45644</v>
      </c>
      <c r="Q45" s="75"/>
      <c r="R45" s="68">
        <v>1500000</v>
      </c>
      <c r="S45" s="69"/>
      <c r="T45" s="69"/>
      <c r="U45" s="69"/>
      <c r="V45" s="70"/>
      <c r="W45" s="138"/>
      <c r="X45" s="18">
        <f>R45/L45</f>
        <v>1.3645928191486942</v>
      </c>
      <c r="Y45" s="54">
        <f>E45</f>
        <v>160.84</v>
      </c>
      <c r="Z45" s="55">
        <f>L45</f>
        <v>1099229</v>
      </c>
      <c r="AA45" s="55">
        <f t="shared" si="8"/>
        <v>6834.301168863467</v>
      </c>
      <c r="AB45" s="54">
        <f t="shared" si="15"/>
        <v>160.84</v>
      </c>
      <c r="AC45" s="57">
        <f>R45</f>
        <v>1500000</v>
      </c>
      <c r="AD45" s="57">
        <f t="shared" si="10"/>
        <v>9326.0382989306145</v>
      </c>
      <c r="AE45" s="58">
        <f>AD45/AA45</f>
        <v>1.3645928191486942</v>
      </c>
    </row>
    <row r="46" spans="1:31" s="40" customFormat="1" ht="39" customHeight="1" x14ac:dyDescent="0.3">
      <c r="A46" s="19">
        <v>25</v>
      </c>
      <c r="B46" s="20" t="s">
        <v>40</v>
      </c>
      <c r="C46" s="20" t="s">
        <v>114</v>
      </c>
      <c r="D46" s="19">
        <v>15205</v>
      </c>
      <c r="E46" s="19">
        <v>15205</v>
      </c>
      <c r="F46" s="21" t="s">
        <v>34</v>
      </c>
      <c r="G46" s="21" t="s">
        <v>35</v>
      </c>
      <c r="H46" s="22">
        <v>100</v>
      </c>
      <c r="I46" s="23">
        <v>43904438</v>
      </c>
      <c r="J46" s="24" t="s">
        <v>111</v>
      </c>
      <c r="K46" s="25" t="s">
        <v>106</v>
      </c>
      <c r="L46" s="26">
        <v>43904438</v>
      </c>
      <c r="M46" s="19">
        <v>2887.5</v>
      </c>
      <c r="N46" s="59">
        <f>+M46*E46</f>
        <v>43904437.5</v>
      </c>
      <c r="O46" s="80"/>
      <c r="P46" s="81"/>
      <c r="Q46" s="60"/>
      <c r="R46" s="63"/>
      <c r="S46" s="36"/>
      <c r="T46" s="36"/>
      <c r="U46" s="36"/>
      <c r="V46" s="37"/>
      <c r="W46" s="139" t="s">
        <v>354</v>
      </c>
      <c r="X46" s="64"/>
      <c r="Y46" s="36">
        <f>E46</f>
        <v>15205</v>
      </c>
      <c r="Z46" s="37">
        <f>L46</f>
        <v>43904438</v>
      </c>
      <c r="AA46" s="37">
        <f t="shared" si="8"/>
        <v>2887.5000328839196</v>
      </c>
      <c r="AB46" s="36">
        <f>SUM(Q47:Q48,Q50:Q61)*10000</f>
        <v>9662.4999999999982</v>
      </c>
      <c r="AC46" s="36">
        <f>SUM(R47:R48,R50:R61)</f>
        <v>38200000</v>
      </c>
      <c r="AD46" s="38">
        <f t="shared" si="10"/>
        <v>3953.4282018111262</v>
      </c>
      <c r="AE46" s="39">
        <f t="shared" ref="AE46:AE103" si="16">AD46/AA46</f>
        <v>1.369152608411436</v>
      </c>
    </row>
    <row r="47" spans="1:31" s="40" customFormat="1" ht="18.600000000000001" customHeight="1" x14ac:dyDescent="0.3">
      <c r="A47" s="19"/>
      <c r="B47" s="20"/>
      <c r="C47" s="20"/>
      <c r="D47" s="19"/>
      <c r="E47" s="19"/>
      <c r="F47" s="21"/>
      <c r="G47" s="21"/>
      <c r="H47" s="22"/>
      <c r="I47" s="23"/>
      <c r="J47" s="24"/>
      <c r="K47" s="25"/>
      <c r="L47" s="26"/>
      <c r="M47" s="19"/>
      <c r="N47" s="59"/>
      <c r="O47" s="80" t="s">
        <v>115</v>
      </c>
      <c r="P47" s="81">
        <v>45737</v>
      </c>
      <c r="Q47" s="60">
        <v>2.955E-2</v>
      </c>
      <c r="R47" s="63">
        <v>4800000</v>
      </c>
      <c r="S47" s="83"/>
      <c r="T47" s="36"/>
      <c r="U47" s="36"/>
      <c r="V47" s="37"/>
      <c r="W47" s="139"/>
      <c r="X47" s="64"/>
      <c r="Y47" s="36"/>
      <c r="Z47" s="37"/>
      <c r="AA47" s="37"/>
      <c r="AB47" s="36"/>
      <c r="AC47" s="38"/>
      <c r="AD47" s="38"/>
      <c r="AE47" s="39"/>
    </row>
    <row r="48" spans="1:31" s="40" customFormat="1" ht="18.600000000000001" customHeight="1" x14ac:dyDescent="0.3">
      <c r="A48" s="19"/>
      <c r="B48" s="20"/>
      <c r="C48" s="20"/>
      <c r="D48" s="19"/>
      <c r="E48" s="19"/>
      <c r="F48" s="21"/>
      <c r="G48" s="21"/>
      <c r="H48" s="22"/>
      <c r="I48" s="23"/>
      <c r="J48" s="24"/>
      <c r="K48" s="25"/>
      <c r="L48" s="26"/>
      <c r="M48" s="19"/>
      <c r="N48" s="59"/>
      <c r="O48" s="80" t="s">
        <v>116</v>
      </c>
      <c r="P48" s="81">
        <v>45769</v>
      </c>
      <c r="Q48" s="60">
        <v>5.2499999999999998E-2</v>
      </c>
      <c r="R48" s="63">
        <v>1900000</v>
      </c>
      <c r="S48" s="83"/>
      <c r="T48" s="36"/>
      <c r="U48" s="36"/>
      <c r="V48" s="37"/>
      <c r="W48" s="139"/>
      <c r="X48" s="64"/>
      <c r="Y48" s="36"/>
      <c r="Z48" s="37"/>
      <c r="AA48" s="37"/>
      <c r="AB48" s="36"/>
      <c r="AC48" s="38"/>
      <c r="AD48" s="38"/>
      <c r="AE48" s="39"/>
    </row>
    <row r="49" spans="1:31" s="40" customFormat="1" ht="18.600000000000001" customHeight="1" x14ac:dyDescent="0.3">
      <c r="A49" s="19"/>
      <c r="B49" s="20"/>
      <c r="C49" s="20"/>
      <c r="D49" s="19"/>
      <c r="E49" s="19"/>
      <c r="F49" s="21"/>
      <c r="G49" s="21"/>
      <c r="H49" s="22"/>
      <c r="I49" s="23"/>
      <c r="J49" s="24"/>
      <c r="K49" s="25"/>
      <c r="L49" s="26"/>
      <c r="M49" s="19"/>
      <c r="N49" s="59"/>
      <c r="O49" s="80" t="s">
        <v>117</v>
      </c>
      <c r="P49" s="81">
        <v>45869</v>
      </c>
      <c r="Q49" s="60">
        <v>0.13539999999999999</v>
      </c>
      <c r="R49" s="63" t="s">
        <v>118</v>
      </c>
      <c r="S49" s="83"/>
      <c r="T49" s="36"/>
      <c r="U49" s="36"/>
      <c r="V49" s="37"/>
      <c r="W49" s="139"/>
      <c r="X49" s="64"/>
      <c r="Y49" s="36"/>
      <c r="Z49" s="37"/>
      <c r="AA49" s="37"/>
      <c r="AB49" s="36"/>
      <c r="AC49" s="38"/>
      <c r="AD49" s="38"/>
      <c r="AE49" s="39"/>
    </row>
    <row r="50" spans="1:31" s="40" customFormat="1" ht="18.600000000000001" customHeight="1" x14ac:dyDescent="0.3">
      <c r="A50" s="19"/>
      <c r="B50" s="20"/>
      <c r="C50" s="20"/>
      <c r="D50" s="19"/>
      <c r="E50" s="19"/>
      <c r="F50" s="21"/>
      <c r="G50" s="21"/>
      <c r="H50" s="22"/>
      <c r="I50" s="23"/>
      <c r="J50" s="24"/>
      <c r="K50" s="25"/>
      <c r="L50" s="26"/>
      <c r="M50" s="19"/>
      <c r="N50" s="59"/>
      <c r="O50" s="80" t="s">
        <v>119</v>
      </c>
      <c r="P50" s="81">
        <v>45708</v>
      </c>
      <c r="Q50" s="60">
        <v>9.4600000000000004E-2</v>
      </c>
      <c r="R50" s="63">
        <v>3000000</v>
      </c>
      <c r="S50" s="83"/>
      <c r="T50" s="36"/>
      <c r="U50" s="36"/>
      <c r="V50" s="37"/>
      <c r="W50" s="139"/>
      <c r="X50" s="64"/>
      <c r="Y50" s="36"/>
      <c r="Z50" s="37"/>
      <c r="AA50" s="37"/>
      <c r="AB50" s="36"/>
      <c r="AC50" s="38"/>
      <c r="AD50" s="38"/>
      <c r="AE50" s="39"/>
    </row>
    <row r="51" spans="1:31" s="40" customFormat="1" ht="18.600000000000001" customHeight="1" x14ac:dyDescent="0.3">
      <c r="A51" s="29"/>
      <c r="B51" s="84"/>
      <c r="C51" s="84"/>
      <c r="D51" s="29"/>
      <c r="E51" s="29"/>
      <c r="F51" s="85"/>
      <c r="G51" s="85"/>
      <c r="H51" s="86"/>
      <c r="I51" s="87"/>
      <c r="J51" s="88"/>
      <c r="K51" s="89"/>
      <c r="L51" s="34"/>
      <c r="M51" s="29"/>
      <c r="N51" s="37"/>
      <c r="O51" s="80" t="s">
        <v>120</v>
      </c>
      <c r="P51" s="81">
        <v>45708</v>
      </c>
      <c r="Q51" s="60">
        <v>9.4299999999999995E-2</v>
      </c>
      <c r="R51" s="63">
        <v>3000000</v>
      </c>
      <c r="S51" s="83"/>
      <c r="T51" s="36"/>
      <c r="U51" s="36"/>
      <c r="V51" s="37"/>
      <c r="W51" s="139"/>
      <c r="X51" s="64"/>
      <c r="Y51" s="36"/>
      <c r="Z51" s="37"/>
      <c r="AA51" s="37"/>
      <c r="AB51" s="36"/>
      <c r="AC51" s="38"/>
      <c r="AD51" s="38"/>
      <c r="AE51" s="39"/>
    </row>
    <row r="52" spans="1:31" s="40" customFormat="1" ht="18.600000000000001" customHeight="1" x14ac:dyDescent="0.3">
      <c r="A52" s="60"/>
      <c r="B52" s="80"/>
      <c r="C52" s="80"/>
      <c r="D52" s="60"/>
      <c r="E52" s="60"/>
      <c r="F52" s="90"/>
      <c r="G52" s="90"/>
      <c r="H52" s="91"/>
      <c r="I52" s="92"/>
      <c r="J52" s="93"/>
      <c r="K52" s="81"/>
      <c r="L52" s="37"/>
      <c r="M52" s="60"/>
      <c r="N52" s="37"/>
      <c r="O52" s="80" t="s">
        <v>121</v>
      </c>
      <c r="P52" s="81">
        <v>45708</v>
      </c>
      <c r="Q52" s="60">
        <v>9.4299999999999995E-2</v>
      </c>
      <c r="R52" s="63">
        <v>3000000</v>
      </c>
      <c r="S52" s="83"/>
      <c r="T52" s="36"/>
      <c r="U52" s="36"/>
      <c r="V52" s="37"/>
      <c r="W52" s="139"/>
      <c r="X52" s="64"/>
      <c r="Y52" s="36"/>
      <c r="Z52" s="37"/>
      <c r="AA52" s="37"/>
      <c r="AB52" s="36"/>
      <c r="AC52" s="38"/>
      <c r="AD52" s="38"/>
      <c r="AE52" s="39"/>
    </row>
    <row r="53" spans="1:31" s="40" customFormat="1" ht="18.600000000000001" customHeight="1" x14ac:dyDescent="0.3">
      <c r="A53" s="60"/>
      <c r="B53" s="80"/>
      <c r="C53" s="80"/>
      <c r="D53" s="60"/>
      <c r="E53" s="60"/>
      <c r="F53" s="90"/>
      <c r="G53" s="90"/>
      <c r="H53" s="91"/>
      <c r="I53" s="92"/>
      <c r="J53" s="93"/>
      <c r="K53" s="81"/>
      <c r="L53" s="37"/>
      <c r="M53" s="60"/>
      <c r="N53" s="37"/>
      <c r="O53" s="80" t="s">
        <v>122</v>
      </c>
      <c r="P53" s="81">
        <v>45708</v>
      </c>
      <c r="Q53" s="60">
        <v>9.4299999999999995E-2</v>
      </c>
      <c r="R53" s="63">
        <v>3000000</v>
      </c>
      <c r="S53" s="83"/>
      <c r="T53" s="36"/>
      <c r="U53" s="36"/>
      <c r="V53" s="37"/>
      <c r="W53" s="139"/>
      <c r="X53" s="64"/>
      <c r="Y53" s="36"/>
      <c r="Z53" s="37"/>
      <c r="AA53" s="37"/>
      <c r="AB53" s="36"/>
      <c r="AC53" s="38"/>
      <c r="AD53" s="38"/>
      <c r="AE53" s="39"/>
    </row>
    <row r="54" spans="1:31" s="40" customFormat="1" ht="18.600000000000001" customHeight="1" x14ac:dyDescent="0.3">
      <c r="A54" s="60"/>
      <c r="B54" s="80"/>
      <c r="C54" s="80"/>
      <c r="D54" s="60"/>
      <c r="E54" s="60"/>
      <c r="F54" s="90"/>
      <c r="G54" s="90"/>
      <c r="H54" s="91"/>
      <c r="I54" s="92"/>
      <c r="J54" s="93"/>
      <c r="K54" s="81"/>
      <c r="L54" s="37"/>
      <c r="M54" s="60"/>
      <c r="N54" s="37"/>
      <c r="O54" s="80" t="s">
        <v>123</v>
      </c>
      <c r="P54" s="81">
        <v>45708</v>
      </c>
      <c r="Q54" s="60">
        <v>0.1008</v>
      </c>
      <c r="R54" s="63">
        <v>4000000</v>
      </c>
      <c r="S54" s="83"/>
      <c r="T54" s="36"/>
      <c r="U54" s="36"/>
      <c r="V54" s="37"/>
      <c r="W54" s="139"/>
      <c r="X54" s="64"/>
      <c r="Y54" s="36"/>
      <c r="Z54" s="37"/>
      <c r="AA54" s="37"/>
      <c r="AB54" s="36"/>
      <c r="AC54" s="38"/>
      <c r="AD54" s="38"/>
      <c r="AE54" s="39"/>
    </row>
    <row r="55" spans="1:31" s="40" customFormat="1" ht="18.600000000000001" customHeight="1" x14ac:dyDescent="0.3">
      <c r="A55" s="60"/>
      <c r="B55" s="80"/>
      <c r="C55" s="80"/>
      <c r="D55" s="60"/>
      <c r="E55" s="60"/>
      <c r="F55" s="90"/>
      <c r="G55" s="90"/>
      <c r="H55" s="91"/>
      <c r="I55" s="92"/>
      <c r="J55" s="93"/>
      <c r="K55" s="81"/>
      <c r="L55" s="37"/>
      <c r="M55" s="60"/>
      <c r="N55" s="37"/>
      <c r="O55" s="80" t="s">
        <v>124</v>
      </c>
      <c r="P55" s="81">
        <v>45727</v>
      </c>
      <c r="Q55" s="60">
        <v>5.1799999999999999E-2</v>
      </c>
      <c r="R55" s="63">
        <v>2000000</v>
      </c>
      <c r="S55" s="83"/>
      <c r="T55" s="36"/>
      <c r="U55" s="36"/>
      <c r="V55" s="37"/>
      <c r="W55" s="139"/>
      <c r="X55" s="64"/>
      <c r="Y55" s="36"/>
      <c r="Z55" s="37"/>
      <c r="AA55" s="37"/>
      <c r="AB55" s="36"/>
      <c r="AC55" s="38"/>
      <c r="AD55" s="38"/>
      <c r="AE55" s="39"/>
    </row>
    <row r="56" spans="1:31" s="40" customFormat="1" ht="18.600000000000001" customHeight="1" x14ac:dyDescent="0.3">
      <c r="A56" s="60"/>
      <c r="B56" s="80"/>
      <c r="C56" s="80"/>
      <c r="D56" s="60"/>
      <c r="E56" s="60"/>
      <c r="F56" s="90"/>
      <c r="G56" s="90"/>
      <c r="H56" s="91"/>
      <c r="I56" s="92"/>
      <c r="J56" s="93"/>
      <c r="K56" s="81"/>
      <c r="L56" s="37"/>
      <c r="M56" s="60"/>
      <c r="N56" s="37"/>
      <c r="O56" s="80" t="s">
        <v>125</v>
      </c>
      <c r="P56" s="81">
        <v>45726</v>
      </c>
      <c r="Q56" s="60">
        <v>5.33E-2</v>
      </c>
      <c r="R56" s="63">
        <v>2000000</v>
      </c>
      <c r="S56" s="83"/>
      <c r="T56" s="36"/>
      <c r="U56" s="36"/>
      <c r="V56" s="37"/>
      <c r="W56" s="139"/>
      <c r="X56" s="64"/>
      <c r="Y56" s="36"/>
      <c r="Z56" s="37"/>
      <c r="AA56" s="37"/>
      <c r="AB56" s="36"/>
      <c r="AC56" s="38"/>
      <c r="AD56" s="38"/>
      <c r="AE56" s="39"/>
    </row>
    <row r="57" spans="1:31" s="40" customFormat="1" ht="18.600000000000001" customHeight="1" x14ac:dyDescent="0.3">
      <c r="A57" s="60"/>
      <c r="B57" s="80"/>
      <c r="C57" s="80"/>
      <c r="D57" s="60"/>
      <c r="E57" s="60"/>
      <c r="F57" s="90"/>
      <c r="G57" s="90"/>
      <c r="H57" s="91"/>
      <c r="I57" s="92"/>
      <c r="J57" s="93"/>
      <c r="K57" s="81"/>
      <c r="L57" s="37"/>
      <c r="M57" s="60"/>
      <c r="N57" s="37"/>
      <c r="O57" s="80" t="s">
        <v>126</v>
      </c>
      <c r="P57" s="81">
        <v>45720</v>
      </c>
      <c r="Q57" s="60">
        <v>5.16E-2</v>
      </c>
      <c r="R57" s="63">
        <v>2000000</v>
      </c>
      <c r="S57" s="83"/>
      <c r="T57" s="36"/>
      <c r="U57" s="36"/>
      <c r="V57" s="37"/>
      <c r="W57" s="139"/>
      <c r="X57" s="64"/>
      <c r="Y57" s="36"/>
      <c r="Z57" s="37"/>
      <c r="AA57" s="37"/>
      <c r="AB57" s="36"/>
      <c r="AC57" s="38"/>
      <c r="AD57" s="38"/>
      <c r="AE57" s="39"/>
    </row>
    <row r="58" spans="1:31" s="40" customFormat="1" ht="18.600000000000001" customHeight="1" x14ac:dyDescent="0.3">
      <c r="A58" s="60"/>
      <c r="B58" s="80"/>
      <c r="C58" s="80"/>
      <c r="D58" s="60"/>
      <c r="E58" s="60"/>
      <c r="F58" s="90"/>
      <c r="G58" s="90"/>
      <c r="H58" s="91"/>
      <c r="I58" s="92"/>
      <c r="J58" s="93"/>
      <c r="K58" s="81"/>
      <c r="L58" s="37"/>
      <c r="M58" s="60"/>
      <c r="N58" s="37"/>
      <c r="O58" s="80" t="s">
        <v>127</v>
      </c>
      <c r="P58" s="81">
        <v>45720</v>
      </c>
      <c r="Q58" s="60">
        <v>5.16E-2</v>
      </c>
      <c r="R58" s="63">
        <v>2000000</v>
      </c>
      <c r="S58" s="83"/>
      <c r="T58" s="36"/>
      <c r="U58" s="36"/>
      <c r="V58" s="37"/>
      <c r="W58" s="139"/>
      <c r="X58" s="64"/>
      <c r="Y58" s="36"/>
      <c r="Z58" s="37"/>
      <c r="AA58" s="37"/>
      <c r="AB58" s="36"/>
      <c r="AC58" s="38"/>
      <c r="AD58" s="38"/>
      <c r="AE58" s="39"/>
    </row>
    <row r="59" spans="1:31" s="40" customFormat="1" ht="18.600000000000001" customHeight="1" x14ac:dyDescent="0.3">
      <c r="A59" s="60"/>
      <c r="B59" s="80"/>
      <c r="C59" s="80"/>
      <c r="D59" s="60"/>
      <c r="E59" s="60"/>
      <c r="F59" s="90"/>
      <c r="G59" s="90"/>
      <c r="H59" s="91"/>
      <c r="I59" s="92"/>
      <c r="J59" s="93"/>
      <c r="K59" s="81"/>
      <c r="L59" s="37"/>
      <c r="M59" s="60"/>
      <c r="N59" s="37"/>
      <c r="O59" s="80" t="s">
        <v>128</v>
      </c>
      <c r="P59" s="81">
        <v>45726</v>
      </c>
      <c r="Q59" s="60">
        <v>5.1700000000000003E-2</v>
      </c>
      <c r="R59" s="63">
        <v>2000000</v>
      </c>
      <c r="S59" s="83"/>
      <c r="T59" s="36"/>
      <c r="U59" s="36"/>
      <c r="V59" s="37"/>
      <c r="W59" s="139"/>
      <c r="X59" s="64"/>
      <c r="Y59" s="36"/>
      <c r="Z59" s="37"/>
      <c r="AA59" s="37"/>
      <c r="AB59" s="36"/>
      <c r="AC59" s="38"/>
      <c r="AD59" s="38"/>
      <c r="AE59" s="39"/>
    </row>
    <row r="60" spans="1:31" s="40" customFormat="1" ht="18.600000000000001" customHeight="1" x14ac:dyDescent="0.3">
      <c r="A60" s="60"/>
      <c r="B60" s="80"/>
      <c r="C60" s="80"/>
      <c r="D60" s="60"/>
      <c r="E60" s="60"/>
      <c r="F60" s="90"/>
      <c r="G60" s="90"/>
      <c r="H60" s="91"/>
      <c r="I60" s="92"/>
      <c r="J60" s="93"/>
      <c r="K60" s="81"/>
      <c r="L60" s="37"/>
      <c r="M60" s="60"/>
      <c r="N60" s="37"/>
      <c r="O60" s="80" t="s">
        <v>129</v>
      </c>
      <c r="P60" s="81">
        <v>45719</v>
      </c>
      <c r="Q60" s="60">
        <v>5.16E-2</v>
      </c>
      <c r="R60" s="63">
        <v>2000000</v>
      </c>
      <c r="S60" s="83"/>
      <c r="T60" s="36"/>
      <c r="U60" s="36"/>
      <c r="V60" s="37"/>
      <c r="W60" s="139"/>
      <c r="X60" s="64"/>
      <c r="Y60" s="36"/>
      <c r="Z60" s="37"/>
      <c r="AA60" s="37"/>
      <c r="AB60" s="36"/>
      <c r="AC60" s="38"/>
      <c r="AD60" s="38"/>
      <c r="AE60" s="39"/>
    </row>
    <row r="61" spans="1:31" s="40" customFormat="1" ht="18.600000000000001" customHeight="1" x14ac:dyDescent="0.3">
      <c r="A61" s="60"/>
      <c r="B61" s="80"/>
      <c r="C61" s="80"/>
      <c r="D61" s="60"/>
      <c r="E61" s="60"/>
      <c r="F61" s="90"/>
      <c r="G61" s="90"/>
      <c r="H61" s="91"/>
      <c r="I61" s="92"/>
      <c r="J61" s="93"/>
      <c r="K61" s="81"/>
      <c r="L61" s="37"/>
      <c r="M61" s="60"/>
      <c r="N61" s="37"/>
      <c r="O61" s="80" t="s">
        <v>130</v>
      </c>
      <c r="P61" s="81">
        <v>45709</v>
      </c>
      <c r="Q61" s="60">
        <v>9.4299999999999995E-2</v>
      </c>
      <c r="R61" s="63">
        <v>3500000</v>
      </c>
      <c r="S61" s="83"/>
      <c r="T61" s="36"/>
      <c r="U61" s="36"/>
      <c r="V61" s="37"/>
      <c r="W61" s="139"/>
      <c r="X61" s="64"/>
      <c r="Y61" s="36"/>
      <c r="Z61" s="37"/>
      <c r="AA61" s="37"/>
      <c r="AB61" s="36"/>
      <c r="AC61" s="38"/>
      <c r="AD61" s="38"/>
      <c r="AE61" s="39"/>
    </row>
    <row r="62" spans="1:31" s="40" customFormat="1" ht="30" customHeight="1" x14ac:dyDescent="0.3">
      <c r="A62" s="94">
        <v>26</v>
      </c>
      <c r="B62" s="53" t="s">
        <v>78</v>
      </c>
      <c r="C62" s="53" t="s">
        <v>131</v>
      </c>
      <c r="D62" s="94">
        <v>500</v>
      </c>
      <c r="E62" s="94">
        <v>500</v>
      </c>
      <c r="F62" s="95" t="s">
        <v>34</v>
      </c>
      <c r="G62" s="95" t="s">
        <v>35</v>
      </c>
      <c r="H62" s="96">
        <v>100</v>
      </c>
      <c r="I62" s="97">
        <v>938850</v>
      </c>
      <c r="J62" s="98" t="s">
        <v>111</v>
      </c>
      <c r="K62" s="76" t="s">
        <v>104</v>
      </c>
      <c r="L62" s="70">
        <v>938850</v>
      </c>
      <c r="M62" s="75">
        <v>1877.7</v>
      </c>
      <c r="N62" s="70">
        <f>+M62*E62</f>
        <v>938850</v>
      </c>
      <c r="O62" s="53"/>
      <c r="P62" s="76">
        <v>45726</v>
      </c>
      <c r="Q62" s="75"/>
      <c r="R62" s="68">
        <v>700000</v>
      </c>
      <c r="S62" s="69"/>
      <c r="T62" s="69"/>
      <c r="U62" s="69"/>
      <c r="V62" s="70"/>
      <c r="W62" s="138"/>
      <c r="X62" s="18">
        <f>R62/L62</f>
        <v>0.74559301272833789</v>
      </c>
      <c r="Y62" s="71">
        <f>E62</f>
        <v>500</v>
      </c>
      <c r="Z62" s="55">
        <f>L62</f>
        <v>938850</v>
      </c>
      <c r="AA62" s="55">
        <f t="shared" si="8"/>
        <v>1877.7</v>
      </c>
      <c r="AB62" s="71">
        <f t="shared" si="15"/>
        <v>500</v>
      </c>
      <c r="AC62" s="57">
        <f>R62</f>
        <v>700000</v>
      </c>
      <c r="AD62" s="57">
        <f t="shared" si="10"/>
        <v>1400</v>
      </c>
      <c r="AE62" s="58">
        <f t="shared" si="16"/>
        <v>0.74559301272833789</v>
      </c>
    </row>
    <row r="63" spans="1:31" s="40" customFormat="1" ht="28.2" customHeight="1" x14ac:dyDescent="0.3">
      <c r="A63" s="60">
        <v>27</v>
      </c>
      <c r="B63" s="80" t="s">
        <v>40</v>
      </c>
      <c r="C63" s="80" t="s">
        <v>132</v>
      </c>
      <c r="D63" s="60">
        <v>1400</v>
      </c>
      <c r="E63" s="60">
        <v>1400</v>
      </c>
      <c r="F63" s="90" t="s">
        <v>34</v>
      </c>
      <c r="G63" s="90" t="s">
        <v>35</v>
      </c>
      <c r="H63" s="91">
        <v>100</v>
      </c>
      <c r="I63" s="92">
        <v>6218520</v>
      </c>
      <c r="J63" s="93" t="s">
        <v>111</v>
      </c>
      <c r="K63" s="81" t="s">
        <v>104</v>
      </c>
      <c r="L63" s="37">
        <v>6218520</v>
      </c>
      <c r="M63" s="60">
        <v>4441.8</v>
      </c>
      <c r="N63" s="37">
        <f>+M63*E63</f>
        <v>6218520</v>
      </c>
      <c r="O63" s="80"/>
      <c r="P63" s="81"/>
      <c r="Q63" s="60"/>
      <c r="R63" s="63"/>
      <c r="S63" s="36"/>
      <c r="T63" s="36"/>
      <c r="U63" s="36"/>
      <c r="V63" s="37"/>
      <c r="W63" s="139" t="s">
        <v>355</v>
      </c>
      <c r="X63" s="64"/>
      <c r="Y63" s="73">
        <f>E63</f>
        <v>1400</v>
      </c>
      <c r="Z63" s="37">
        <f>L63</f>
        <v>6218520</v>
      </c>
      <c r="AA63" s="37">
        <f t="shared" si="8"/>
        <v>4441.8</v>
      </c>
      <c r="AB63" s="73">
        <f>SUM(Q64:Q66)*10000</f>
        <v>1050</v>
      </c>
      <c r="AC63" s="38">
        <f>SUM(R64:R66)</f>
        <v>9848200</v>
      </c>
      <c r="AD63" s="38">
        <f t="shared" si="10"/>
        <v>9379.2380952380954</v>
      </c>
      <c r="AE63" s="39">
        <f t="shared" si="16"/>
        <v>2.1115849644824385</v>
      </c>
    </row>
    <row r="64" spans="1:31" s="40" customFormat="1" ht="21.75" customHeight="1" x14ac:dyDescent="0.3">
      <c r="A64" s="60"/>
      <c r="B64" s="80"/>
      <c r="C64" s="80"/>
      <c r="D64" s="60"/>
      <c r="E64" s="60"/>
      <c r="F64" s="90"/>
      <c r="G64" s="90"/>
      <c r="H64" s="91"/>
      <c r="I64" s="92"/>
      <c r="J64" s="93"/>
      <c r="K64" s="81"/>
      <c r="L64" s="37"/>
      <c r="M64" s="60"/>
      <c r="N64" s="37"/>
      <c r="O64" s="80" t="s">
        <v>133</v>
      </c>
      <c r="P64" s="81"/>
      <c r="Q64" s="60">
        <v>3.5000000000000003E-2</v>
      </c>
      <c r="R64" s="63">
        <v>3848200</v>
      </c>
      <c r="S64" s="83"/>
      <c r="T64" s="36"/>
      <c r="U64" s="36"/>
      <c r="V64" s="37"/>
      <c r="W64" s="139"/>
      <c r="X64" s="35">
        <f>R64/((Q64/SUM($Q$64:$Q$67))*$L$63)</f>
        <v>2.4753156699664873</v>
      </c>
      <c r="Y64" s="73"/>
      <c r="Z64" s="37"/>
      <c r="AA64" s="37"/>
      <c r="AB64" s="73"/>
      <c r="AC64" s="38"/>
      <c r="AD64" s="38"/>
      <c r="AE64" s="39"/>
    </row>
    <row r="65" spans="1:31" s="40" customFormat="1" ht="21.75" customHeight="1" x14ac:dyDescent="0.3">
      <c r="A65" s="60"/>
      <c r="B65" s="80"/>
      <c r="C65" s="80"/>
      <c r="D65" s="60"/>
      <c r="E65" s="60"/>
      <c r="F65" s="90"/>
      <c r="G65" s="90"/>
      <c r="H65" s="91"/>
      <c r="I65" s="92"/>
      <c r="J65" s="93"/>
      <c r="K65" s="81"/>
      <c r="L65" s="37"/>
      <c r="M65" s="60"/>
      <c r="N65" s="37"/>
      <c r="O65" s="80" t="s">
        <v>134</v>
      </c>
      <c r="P65" s="81"/>
      <c r="Q65" s="60">
        <v>3.5000000000000003E-2</v>
      </c>
      <c r="R65" s="63">
        <v>2000000</v>
      </c>
      <c r="S65" s="83"/>
      <c r="T65" s="36"/>
      <c r="U65" s="36"/>
      <c r="V65" s="37"/>
      <c r="W65" s="139"/>
      <c r="X65" s="35">
        <f>R65/((Q65/SUM($Q$64:$Q$67))*$L$63)</f>
        <v>1.286479741160276</v>
      </c>
      <c r="Y65" s="73"/>
      <c r="Z65" s="37"/>
      <c r="AA65" s="37"/>
      <c r="AB65" s="73"/>
      <c r="AC65" s="38"/>
      <c r="AD65" s="38"/>
      <c r="AE65" s="39"/>
    </row>
    <row r="66" spans="1:31" s="40" customFormat="1" ht="21.75" customHeight="1" x14ac:dyDescent="0.3">
      <c r="A66" s="60"/>
      <c r="B66" s="80"/>
      <c r="C66" s="80"/>
      <c r="D66" s="60"/>
      <c r="E66" s="60"/>
      <c r="F66" s="90"/>
      <c r="G66" s="90"/>
      <c r="H66" s="91"/>
      <c r="I66" s="92"/>
      <c r="J66" s="93"/>
      <c r="K66" s="81"/>
      <c r="L66" s="37"/>
      <c r="M66" s="60"/>
      <c r="N66" s="37"/>
      <c r="O66" s="80" t="s">
        <v>135</v>
      </c>
      <c r="P66" s="81"/>
      <c r="Q66" s="60">
        <v>3.5000000000000003E-2</v>
      </c>
      <c r="R66" s="63">
        <v>4000000</v>
      </c>
      <c r="S66" s="83"/>
      <c r="T66" s="36"/>
      <c r="U66" s="36"/>
      <c r="V66" s="37"/>
      <c r="W66" s="139"/>
      <c r="X66" s="35">
        <f>R66/((Q66/SUM($Q$64:$Q$67))*$L$63)</f>
        <v>2.5729594823205519</v>
      </c>
      <c r="Y66" s="73"/>
      <c r="Z66" s="37"/>
      <c r="AA66" s="37"/>
      <c r="AB66" s="73"/>
      <c r="AC66" s="38"/>
      <c r="AD66" s="38"/>
      <c r="AE66" s="39"/>
    </row>
    <row r="67" spans="1:31" s="40" customFormat="1" ht="21.75" customHeight="1" x14ac:dyDescent="0.3">
      <c r="A67" s="60"/>
      <c r="B67" s="80"/>
      <c r="C67" s="80"/>
      <c r="D67" s="60"/>
      <c r="E67" s="60"/>
      <c r="F67" s="90"/>
      <c r="G67" s="90"/>
      <c r="H67" s="91"/>
      <c r="I67" s="92"/>
      <c r="J67" s="93"/>
      <c r="K67" s="81"/>
      <c r="L67" s="37"/>
      <c r="M67" s="60"/>
      <c r="N67" s="37"/>
      <c r="O67" s="80" t="s">
        <v>136</v>
      </c>
      <c r="P67" s="81"/>
      <c r="Q67" s="60">
        <v>3.5000000000000003E-2</v>
      </c>
      <c r="R67" s="63">
        <v>0</v>
      </c>
      <c r="S67" s="83"/>
      <c r="T67" s="36"/>
      <c r="U67" s="36"/>
      <c r="V67" s="37"/>
      <c r="W67" s="139"/>
      <c r="X67" s="64"/>
      <c r="Y67" s="73"/>
      <c r="Z67" s="37"/>
      <c r="AA67" s="37"/>
      <c r="AB67" s="73"/>
      <c r="AC67" s="38"/>
      <c r="AD67" s="38"/>
      <c r="AE67" s="39"/>
    </row>
    <row r="68" spans="1:31" s="40" customFormat="1" ht="31.2" customHeight="1" x14ac:dyDescent="0.3">
      <c r="A68" s="94">
        <v>28</v>
      </c>
      <c r="B68" s="53" t="s">
        <v>40</v>
      </c>
      <c r="C68" s="53" t="s">
        <v>137</v>
      </c>
      <c r="D68" s="94">
        <v>1162</v>
      </c>
      <c r="E68" s="94">
        <v>1162</v>
      </c>
      <c r="F68" s="95" t="s">
        <v>34</v>
      </c>
      <c r="G68" s="95" t="s">
        <v>35</v>
      </c>
      <c r="H68" s="96">
        <v>100</v>
      </c>
      <c r="I68" s="97">
        <v>3355275</v>
      </c>
      <c r="J68" s="98">
        <v>45547</v>
      </c>
      <c r="K68" s="76" t="s">
        <v>138</v>
      </c>
      <c r="L68" s="70">
        <v>3355275</v>
      </c>
      <c r="M68" s="75">
        <v>2887.5</v>
      </c>
      <c r="N68" s="70">
        <f>+M68*E68</f>
        <v>3355275</v>
      </c>
      <c r="O68" s="53"/>
      <c r="P68" s="76">
        <v>45701</v>
      </c>
      <c r="Q68" s="75"/>
      <c r="R68" s="68">
        <v>3500000</v>
      </c>
      <c r="S68" s="69"/>
      <c r="T68" s="69"/>
      <c r="U68" s="69"/>
      <c r="V68" s="70"/>
      <c r="W68" s="138"/>
      <c r="X68" s="18">
        <f>R68/L68</f>
        <v>1.0431335732540552</v>
      </c>
      <c r="Y68" s="71">
        <f>E68</f>
        <v>1162</v>
      </c>
      <c r="Z68" s="55">
        <f>L68</f>
        <v>3355275</v>
      </c>
      <c r="AA68" s="55">
        <f t="shared" si="8"/>
        <v>2887.5</v>
      </c>
      <c r="AB68" s="71">
        <f t="shared" si="15"/>
        <v>1162</v>
      </c>
      <c r="AC68" s="57">
        <f>R68</f>
        <v>3500000</v>
      </c>
      <c r="AD68" s="57">
        <f t="shared" si="10"/>
        <v>3012.0481927710844</v>
      </c>
      <c r="AE68" s="58">
        <f t="shared" si="16"/>
        <v>1.0431335732540552</v>
      </c>
    </row>
    <row r="69" spans="1:31" s="40" customFormat="1" ht="39" customHeight="1" x14ac:dyDescent="0.3">
      <c r="A69" s="60">
        <v>29</v>
      </c>
      <c r="B69" s="80" t="s">
        <v>75</v>
      </c>
      <c r="C69" s="80" t="s">
        <v>139</v>
      </c>
      <c r="D69" s="60">
        <v>1296.2</v>
      </c>
      <c r="E69" s="60">
        <v>1296.2</v>
      </c>
      <c r="F69" s="90" t="s">
        <v>34</v>
      </c>
      <c r="G69" s="90" t="s">
        <v>35</v>
      </c>
      <c r="H69" s="91">
        <v>100</v>
      </c>
      <c r="I69" s="92">
        <v>1026590</v>
      </c>
      <c r="J69" s="93">
        <v>45547</v>
      </c>
      <c r="K69" s="81" t="s">
        <v>140</v>
      </c>
      <c r="L69" s="37">
        <v>1026590</v>
      </c>
      <c r="M69" s="60">
        <v>792</v>
      </c>
      <c r="N69" s="37">
        <f>+M69*E69</f>
        <v>1026590.4</v>
      </c>
      <c r="O69" s="80"/>
      <c r="P69" s="81"/>
      <c r="Q69" s="60"/>
      <c r="R69" s="63"/>
      <c r="S69" s="36"/>
      <c r="T69" s="36"/>
      <c r="U69" s="36"/>
      <c r="V69" s="37"/>
      <c r="W69" s="139" t="s">
        <v>356</v>
      </c>
      <c r="X69" s="64"/>
      <c r="Y69" s="73">
        <f>E69</f>
        <v>1296.2</v>
      </c>
      <c r="Z69" s="37">
        <f>L69</f>
        <v>1026590</v>
      </c>
      <c r="AA69" s="37">
        <f t="shared" si="8"/>
        <v>791.99969140564724</v>
      </c>
      <c r="AB69" s="73">
        <f>Q70*10000</f>
        <v>451</v>
      </c>
      <c r="AC69" s="38">
        <f>R70</f>
        <v>250000</v>
      </c>
      <c r="AD69" s="38">
        <f t="shared" si="10"/>
        <v>554.32372505543242</v>
      </c>
      <c r="AE69" s="39">
        <f t="shared" si="16"/>
        <v>0.69990396596192395</v>
      </c>
    </row>
    <row r="70" spans="1:31" s="40" customFormat="1" ht="21" customHeight="1" x14ac:dyDescent="0.3">
      <c r="A70" s="29"/>
      <c r="B70" s="80"/>
      <c r="C70" s="80"/>
      <c r="D70" s="60"/>
      <c r="E70" s="60"/>
      <c r="F70" s="90"/>
      <c r="G70" s="90"/>
      <c r="H70" s="91"/>
      <c r="I70" s="92"/>
      <c r="J70" s="93"/>
      <c r="K70" s="81"/>
      <c r="L70" s="37"/>
      <c r="M70" s="60"/>
      <c r="N70" s="37"/>
      <c r="O70" s="80" t="s">
        <v>141</v>
      </c>
      <c r="P70" s="81">
        <v>45714</v>
      </c>
      <c r="Q70" s="60">
        <v>4.5100000000000001E-2</v>
      </c>
      <c r="R70" s="63">
        <v>250000</v>
      </c>
      <c r="S70" s="36"/>
      <c r="T70" s="36"/>
      <c r="U70" s="36"/>
      <c r="V70" s="37"/>
      <c r="W70" s="139"/>
      <c r="X70" s="35">
        <f>R70/((Q70/SUM(Q70:Q71))*L69)</f>
        <v>0.69990396596192384</v>
      </c>
      <c r="Y70" s="36"/>
      <c r="Z70" s="37"/>
      <c r="AA70" s="37"/>
      <c r="AB70" s="36"/>
      <c r="AC70" s="38"/>
      <c r="AD70" s="38"/>
      <c r="AE70" s="39"/>
    </row>
    <row r="71" spans="1:31" s="40" customFormat="1" ht="21" customHeight="1" x14ac:dyDescent="0.3">
      <c r="A71" s="29"/>
      <c r="B71" s="80"/>
      <c r="C71" s="80"/>
      <c r="D71" s="60"/>
      <c r="E71" s="60"/>
      <c r="F71" s="90"/>
      <c r="G71" s="90"/>
      <c r="H71" s="91"/>
      <c r="I71" s="92"/>
      <c r="J71" s="93"/>
      <c r="K71" s="81"/>
      <c r="L71" s="37"/>
      <c r="M71" s="60"/>
      <c r="N71" s="37"/>
      <c r="O71" s="80" t="s">
        <v>142</v>
      </c>
      <c r="P71" s="81"/>
      <c r="Q71" s="60">
        <v>8.4519999999999998E-2</v>
      </c>
      <c r="R71" s="63"/>
      <c r="S71" s="36"/>
      <c r="T71" s="36"/>
      <c r="U71" s="36"/>
      <c r="V71" s="37"/>
      <c r="W71" s="139"/>
      <c r="X71" s="64"/>
      <c r="Y71" s="36"/>
      <c r="Z71" s="37"/>
      <c r="AA71" s="37"/>
      <c r="AB71" s="36"/>
      <c r="AC71" s="38"/>
      <c r="AD71" s="38"/>
      <c r="AE71" s="39"/>
    </row>
    <row r="72" spans="1:31" s="40" customFormat="1" ht="31.2" customHeight="1" x14ac:dyDescent="0.3">
      <c r="A72" s="94">
        <v>30</v>
      </c>
      <c r="B72" s="53" t="s">
        <v>143</v>
      </c>
      <c r="C72" s="53" t="s">
        <v>144</v>
      </c>
      <c r="D72" s="94">
        <v>1200</v>
      </c>
      <c r="E72" s="94">
        <v>1200</v>
      </c>
      <c r="F72" s="95" t="s">
        <v>34</v>
      </c>
      <c r="G72" s="95" t="s">
        <v>35</v>
      </c>
      <c r="H72" s="96">
        <v>100</v>
      </c>
      <c r="I72" s="97">
        <v>3465000</v>
      </c>
      <c r="J72" s="76">
        <v>45547</v>
      </c>
      <c r="K72" s="76" t="s">
        <v>145</v>
      </c>
      <c r="L72" s="70">
        <v>3465000</v>
      </c>
      <c r="M72" s="75">
        <v>2887.5</v>
      </c>
      <c r="N72" s="70">
        <f>+M72*E72</f>
        <v>3465000</v>
      </c>
      <c r="O72" s="53"/>
      <c r="P72" s="76">
        <v>45653</v>
      </c>
      <c r="Q72" s="75"/>
      <c r="R72" s="68">
        <v>3600000</v>
      </c>
      <c r="S72" s="69"/>
      <c r="T72" s="69"/>
      <c r="U72" s="69"/>
      <c r="V72" s="70"/>
      <c r="W72" s="138"/>
      <c r="X72" s="18">
        <f>R72/L72</f>
        <v>1.0389610389610389</v>
      </c>
      <c r="Y72" s="54">
        <f>E72</f>
        <v>1200</v>
      </c>
      <c r="Z72" s="55">
        <f t="shared" ref="Z72:Z77" si="17">L72</f>
        <v>3465000</v>
      </c>
      <c r="AA72" s="55">
        <f t="shared" si="8"/>
        <v>2887.5</v>
      </c>
      <c r="AB72" s="54">
        <f t="shared" si="15"/>
        <v>1200</v>
      </c>
      <c r="AC72" s="57">
        <f>R72</f>
        <v>3600000</v>
      </c>
      <c r="AD72" s="57">
        <f t="shared" si="10"/>
        <v>3000</v>
      </c>
      <c r="AE72" s="58">
        <f t="shared" si="16"/>
        <v>1.0389610389610389</v>
      </c>
    </row>
    <row r="73" spans="1:31" s="40" customFormat="1" ht="31.2" customHeight="1" x14ac:dyDescent="0.3">
      <c r="A73" s="60">
        <v>31</v>
      </c>
      <c r="B73" s="80" t="s">
        <v>143</v>
      </c>
      <c r="C73" s="80" t="s">
        <v>146</v>
      </c>
      <c r="D73" s="60">
        <v>1200</v>
      </c>
      <c r="E73" s="60">
        <v>1200</v>
      </c>
      <c r="F73" s="90" t="s">
        <v>34</v>
      </c>
      <c r="G73" s="90" t="s">
        <v>35</v>
      </c>
      <c r="H73" s="91">
        <v>100</v>
      </c>
      <c r="I73" s="92">
        <v>3465000</v>
      </c>
      <c r="J73" s="93">
        <v>45547</v>
      </c>
      <c r="K73" s="81">
        <v>45638</v>
      </c>
      <c r="L73" s="37">
        <v>3465000</v>
      </c>
      <c r="M73" s="60">
        <v>2887.5</v>
      </c>
      <c r="N73" s="37">
        <f>+M73*E73</f>
        <v>3465000</v>
      </c>
      <c r="O73" s="80"/>
      <c r="P73" s="81">
        <v>45653</v>
      </c>
      <c r="Q73" s="60"/>
      <c r="R73" s="63">
        <v>3700000</v>
      </c>
      <c r="S73" s="36"/>
      <c r="T73" s="36"/>
      <c r="U73" s="36"/>
      <c r="V73" s="37"/>
      <c r="W73" s="139"/>
      <c r="X73" s="35">
        <f>R73/L73</f>
        <v>1.0678210678210678</v>
      </c>
      <c r="Y73" s="36">
        <f>E73</f>
        <v>1200</v>
      </c>
      <c r="Z73" s="37">
        <f t="shared" si="17"/>
        <v>3465000</v>
      </c>
      <c r="AA73" s="37">
        <f t="shared" si="8"/>
        <v>2887.5</v>
      </c>
      <c r="AB73" s="36">
        <f t="shared" si="15"/>
        <v>1200</v>
      </c>
      <c r="AC73" s="38">
        <f>R73</f>
        <v>3700000</v>
      </c>
      <c r="AD73" s="38">
        <f t="shared" si="10"/>
        <v>3083.3333333333335</v>
      </c>
      <c r="AE73" s="39">
        <f t="shared" si="16"/>
        <v>1.0678210678210678</v>
      </c>
    </row>
    <row r="74" spans="1:31" s="40" customFormat="1" ht="31.2" customHeight="1" x14ac:dyDescent="0.3">
      <c r="A74" s="94">
        <v>32</v>
      </c>
      <c r="B74" s="53" t="s">
        <v>40</v>
      </c>
      <c r="C74" s="53" t="s">
        <v>147</v>
      </c>
      <c r="D74" s="94">
        <v>590</v>
      </c>
      <c r="E74" s="94">
        <v>590</v>
      </c>
      <c r="F74" s="95" t="s">
        <v>34</v>
      </c>
      <c r="G74" s="95" t="s">
        <v>35</v>
      </c>
      <c r="H74" s="96">
        <v>100</v>
      </c>
      <c r="I74" s="97">
        <v>1703625</v>
      </c>
      <c r="J74" s="98" t="s">
        <v>148</v>
      </c>
      <c r="K74" s="76" t="s">
        <v>149</v>
      </c>
      <c r="L74" s="70">
        <v>1703625</v>
      </c>
      <c r="M74" s="75">
        <v>2887.5</v>
      </c>
      <c r="N74" s="70">
        <f>+M74*E74</f>
        <v>1703625</v>
      </c>
      <c r="O74" s="53"/>
      <c r="P74" s="76">
        <v>45673</v>
      </c>
      <c r="Q74" s="75"/>
      <c r="R74" s="68">
        <v>1500000</v>
      </c>
      <c r="S74" s="69"/>
      <c r="T74" s="69"/>
      <c r="U74" s="69"/>
      <c r="V74" s="70"/>
      <c r="W74" s="138"/>
      <c r="X74" s="18">
        <f>R74/L74</f>
        <v>0.88047545674664318</v>
      </c>
      <c r="Y74" s="53">
        <f>E74</f>
        <v>590</v>
      </c>
      <c r="Z74" s="99">
        <f t="shared" si="17"/>
        <v>1703625</v>
      </c>
      <c r="AA74" s="99">
        <f t="shared" si="8"/>
        <v>2887.5</v>
      </c>
      <c r="AB74" s="53">
        <f t="shared" si="15"/>
        <v>590</v>
      </c>
      <c r="AC74" s="100">
        <f>R74</f>
        <v>1500000</v>
      </c>
      <c r="AD74" s="100">
        <f t="shared" si="10"/>
        <v>2542.3728813559323</v>
      </c>
      <c r="AE74" s="101">
        <f t="shared" si="16"/>
        <v>0.88047545674664329</v>
      </c>
    </row>
    <row r="75" spans="1:31" s="40" customFormat="1" ht="31.2" customHeight="1" x14ac:dyDescent="0.3">
      <c r="A75" s="60">
        <v>33</v>
      </c>
      <c r="B75" s="80" t="s">
        <v>40</v>
      </c>
      <c r="C75" s="80" t="s">
        <v>150</v>
      </c>
      <c r="D75" s="60">
        <v>591.1</v>
      </c>
      <c r="E75" s="60">
        <v>591.1</v>
      </c>
      <c r="F75" s="90" t="s">
        <v>34</v>
      </c>
      <c r="G75" s="90" t="s">
        <v>35</v>
      </c>
      <c r="H75" s="91">
        <v>100</v>
      </c>
      <c r="I75" s="92">
        <v>1706801</v>
      </c>
      <c r="J75" s="93" t="s">
        <v>148</v>
      </c>
      <c r="K75" s="81" t="s">
        <v>149</v>
      </c>
      <c r="L75" s="102">
        <v>1706801</v>
      </c>
      <c r="M75" s="103">
        <v>2887.5</v>
      </c>
      <c r="N75" s="102">
        <f>M75*E75</f>
        <v>1706801.25</v>
      </c>
      <c r="O75" s="104"/>
      <c r="P75" s="105" t="s">
        <v>39</v>
      </c>
      <c r="Q75" s="103"/>
      <c r="R75" s="106">
        <v>0</v>
      </c>
      <c r="S75" s="107"/>
      <c r="T75" s="36"/>
      <c r="U75" s="36"/>
      <c r="V75" s="37"/>
      <c r="W75" s="139"/>
      <c r="X75" s="64" t="s">
        <v>46</v>
      </c>
      <c r="Y75" s="36">
        <f>E75</f>
        <v>591.1</v>
      </c>
      <c r="Z75" s="37">
        <f t="shared" si="17"/>
        <v>1706801</v>
      </c>
      <c r="AA75" s="37">
        <f t="shared" si="8"/>
        <v>2887.4995770597188</v>
      </c>
      <c r="AB75" s="64" t="s">
        <v>39</v>
      </c>
      <c r="AC75" s="64" t="s">
        <v>39</v>
      </c>
      <c r="AD75" s="64" t="s">
        <v>39</v>
      </c>
      <c r="AE75" s="39"/>
    </row>
    <row r="76" spans="1:31" s="40" customFormat="1" ht="31.2" customHeight="1" x14ac:dyDescent="0.3">
      <c r="A76" s="94">
        <v>34</v>
      </c>
      <c r="B76" s="53" t="s">
        <v>151</v>
      </c>
      <c r="C76" s="53" t="s">
        <v>152</v>
      </c>
      <c r="D76" s="94">
        <v>3736.5</v>
      </c>
      <c r="E76" s="94">
        <v>3736.5</v>
      </c>
      <c r="F76" s="95" t="s">
        <v>34</v>
      </c>
      <c r="G76" s="95" t="s">
        <v>48</v>
      </c>
      <c r="H76" s="96">
        <v>100</v>
      </c>
      <c r="I76" s="97">
        <v>10789144</v>
      </c>
      <c r="J76" s="98" t="s">
        <v>148</v>
      </c>
      <c r="K76" s="108" t="s">
        <v>153</v>
      </c>
      <c r="L76" s="48">
        <v>10789144</v>
      </c>
      <c r="M76" s="41">
        <v>2887.5</v>
      </c>
      <c r="N76" s="48">
        <f>+M76*E76</f>
        <v>10789143.75</v>
      </c>
      <c r="O76" s="42"/>
      <c r="P76" s="47">
        <v>45790</v>
      </c>
      <c r="Q76" s="41"/>
      <c r="R76" s="109">
        <v>12000000</v>
      </c>
      <c r="S76" s="110"/>
      <c r="T76" s="111"/>
      <c r="U76" s="69"/>
      <c r="V76" s="70"/>
      <c r="W76" s="138"/>
      <c r="X76" s="18">
        <f>R76/L76</f>
        <v>1.1122291073323334</v>
      </c>
      <c r="Y76" s="54">
        <f>E76</f>
        <v>3736.5</v>
      </c>
      <c r="Z76" s="55">
        <f t="shared" si="17"/>
        <v>10789144</v>
      </c>
      <c r="AA76" s="55">
        <f t="shared" si="8"/>
        <v>2887.5000669075339</v>
      </c>
      <c r="AB76" s="54">
        <f t="shared" si="15"/>
        <v>3736.5</v>
      </c>
      <c r="AC76" s="57">
        <f>R76</f>
        <v>12000000</v>
      </c>
      <c r="AD76" s="57">
        <f t="shared" si="10"/>
        <v>3211.561621838619</v>
      </c>
      <c r="AE76" s="58">
        <f t="shared" si="16"/>
        <v>1.1122291073323332</v>
      </c>
    </row>
    <row r="77" spans="1:31" s="40" customFormat="1" ht="39" customHeight="1" x14ac:dyDescent="0.3">
      <c r="A77" s="60">
        <v>35</v>
      </c>
      <c r="B77" s="80" t="s">
        <v>154</v>
      </c>
      <c r="C77" s="80" t="s">
        <v>155</v>
      </c>
      <c r="D77" s="60" t="s">
        <v>156</v>
      </c>
      <c r="E77" s="60">
        <v>0.52983000000000002</v>
      </c>
      <c r="F77" s="90" t="s">
        <v>157</v>
      </c>
      <c r="G77" s="90" t="s">
        <v>158</v>
      </c>
      <c r="H77" s="91">
        <v>100</v>
      </c>
      <c r="I77" s="92">
        <v>858205</v>
      </c>
      <c r="J77" s="93" t="s">
        <v>36</v>
      </c>
      <c r="K77" s="112" t="s">
        <v>42</v>
      </c>
      <c r="L77" s="26">
        <v>858205</v>
      </c>
      <c r="M77" s="113"/>
      <c r="N77" s="114"/>
      <c r="O77" s="114"/>
      <c r="P77" s="114"/>
      <c r="Q77" s="114"/>
      <c r="R77" s="114"/>
      <c r="S77" s="115"/>
      <c r="T77" s="116"/>
      <c r="U77" s="36"/>
      <c r="V77" s="37"/>
      <c r="W77" s="139"/>
      <c r="X77" s="64"/>
      <c r="Y77" s="36">
        <f>E77*10000</f>
        <v>5298.3</v>
      </c>
      <c r="Z77" s="37">
        <f t="shared" si="17"/>
        <v>858205</v>
      </c>
      <c r="AA77" s="37">
        <f t="shared" si="8"/>
        <v>161.97742672177867</v>
      </c>
      <c r="AB77" s="36">
        <f>SUM(Q80:Q83)*10000</f>
        <v>2484.2999999999997</v>
      </c>
      <c r="AC77" s="38">
        <f>SUM(R80:R83)</f>
        <v>1500000</v>
      </c>
      <c r="AD77" s="38">
        <f t="shared" si="10"/>
        <v>603.7918125830214</v>
      </c>
      <c r="AE77" s="39">
        <f t="shared" si="16"/>
        <v>3.7276293666532152</v>
      </c>
    </row>
    <row r="78" spans="1:31" s="40" customFormat="1" ht="17.399999999999999" customHeight="1" x14ac:dyDescent="0.3">
      <c r="A78" s="60"/>
      <c r="B78" s="80"/>
      <c r="C78" s="80"/>
      <c r="D78" s="60"/>
      <c r="E78" s="60"/>
      <c r="F78" s="90"/>
      <c r="G78" s="90"/>
      <c r="H78" s="91"/>
      <c r="I78" s="92"/>
      <c r="J78" s="93"/>
      <c r="K78" s="112"/>
      <c r="L78" s="26"/>
      <c r="M78" s="19">
        <v>159.5</v>
      </c>
      <c r="N78" s="26">
        <f>M78*Q78*10000</f>
        <v>208785.49999999997</v>
      </c>
      <c r="O78" s="20" t="s">
        <v>159</v>
      </c>
      <c r="P78" s="25"/>
      <c r="Q78" s="19">
        <v>0.13089999999999999</v>
      </c>
      <c r="R78" s="117">
        <v>0</v>
      </c>
      <c r="S78" s="115"/>
      <c r="T78" s="116"/>
      <c r="U78" s="36"/>
      <c r="V78" s="37"/>
      <c r="W78" s="139"/>
      <c r="X78" s="64"/>
      <c r="Y78" s="36"/>
      <c r="Z78" s="37"/>
      <c r="AA78" s="37"/>
      <c r="AB78" s="36"/>
      <c r="AC78" s="38"/>
      <c r="AD78" s="38"/>
      <c r="AE78" s="39"/>
    </row>
    <row r="79" spans="1:31" s="40" customFormat="1" ht="17.399999999999999" customHeight="1" x14ac:dyDescent="0.3">
      <c r="A79" s="60"/>
      <c r="B79" s="80"/>
      <c r="C79" s="80"/>
      <c r="D79" s="60"/>
      <c r="E79" s="60"/>
      <c r="F79" s="90"/>
      <c r="G79" s="90"/>
      <c r="H79" s="91"/>
      <c r="I79" s="92"/>
      <c r="J79" s="93"/>
      <c r="K79" s="112"/>
      <c r="L79" s="26"/>
      <c r="M79" s="19">
        <v>118.5</v>
      </c>
      <c r="N79" s="26">
        <f t="shared" ref="N79:N83" si="18">M79*Q79*10000</f>
        <v>178342.5</v>
      </c>
      <c r="O79" s="20" t="s">
        <v>160</v>
      </c>
      <c r="P79" s="25"/>
      <c r="Q79" s="19">
        <v>0.15049999999999999</v>
      </c>
      <c r="R79" s="117">
        <v>0</v>
      </c>
      <c r="S79" s="115"/>
      <c r="T79" s="116"/>
      <c r="U79" s="36"/>
      <c r="V79" s="37"/>
      <c r="W79" s="139"/>
      <c r="X79" s="35"/>
      <c r="Y79" s="36"/>
      <c r="Z79" s="37"/>
      <c r="AA79" s="37"/>
      <c r="AB79" s="36"/>
      <c r="AC79" s="38"/>
      <c r="AD79" s="38"/>
      <c r="AE79" s="39"/>
    </row>
    <row r="80" spans="1:31" s="40" customFormat="1" ht="17.399999999999999" customHeight="1" x14ac:dyDescent="0.3">
      <c r="A80" s="60"/>
      <c r="B80" s="80"/>
      <c r="C80" s="80"/>
      <c r="D80" s="60"/>
      <c r="E80" s="60"/>
      <c r="F80" s="90"/>
      <c r="G80" s="90"/>
      <c r="H80" s="91"/>
      <c r="I80" s="92"/>
      <c r="J80" s="93"/>
      <c r="K80" s="112"/>
      <c r="L80" s="26"/>
      <c r="M80" s="19">
        <v>159.5</v>
      </c>
      <c r="N80" s="26">
        <f t="shared" si="18"/>
        <v>74901.2</v>
      </c>
      <c r="O80" s="20" t="s">
        <v>161</v>
      </c>
      <c r="P80" s="25">
        <v>45331</v>
      </c>
      <c r="Q80" s="19">
        <v>4.6960000000000002E-2</v>
      </c>
      <c r="R80" s="117">
        <v>400000</v>
      </c>
      <c r="S80" s="115"/>
      <c r="T80" s="116"/>
      <c r="U80" s="36"/>
      <c r="V80" s="37"/>
      <c r="W80" s="139"/>
      <c r="X80" s="35">
        <f>R80/((Q80/SUM(Q78:Q83))*L$77)</f>
        <v>5.2586880383739807</v>
      </c>
      <c r="Y80" s="36"/>
      <c r="Z80" s="37"/>
      <c r="AA80" s="37"/>
      <c r="AB80" s="36"/>
      <c r="AC80" s="38"/>
      <c r="AD80" s="38"/>
      <c r="AE80" s="39"/>
    </row>
    <row r="81" spans="1:31" s="40" customFormat="1" ht="17.399999999999999" customHeight="1" x14ac:dyDescent="0.3">
      <c r="A81" s="60"/>
      <c r="B81" s="80"/>
      <c r="C81" s="80"/>
      <c r="D81" s="60"/>
      <c r="E81" s="60"/>
      <c r="F81" s="90"/>
      <c r="G81" s="90"/>
      <c r="H81" s="91"/>
      <c r="I81" s="92"/>
      <c r="J81" s="93"/>
      <c r="K81" s="112"/>
      <c r="L81" s="26"/>
      <c r="M81" s="19">
        <v>159.5</v>
      </c>
      <c r="N81" s="26">
        <f t="shared" si="18"/>
        <v>16715.599999999999</v>
      </c>
      <c r="O81" s="20" t="s">
        <v>162</v>
      </c>
      <c r="P81" s="25">
        <v>45331</v>
      </c>
      <c r="Q81" s="19">
        <v>1.048E-2</v>
      </c>
      <c r="R81" s="117">
        <v>450000</v>
      </c>
      <c r="S81" s="115"/>
      <c r="T81" s="116"/>
      <c r="U81" s="36"/>
      <c r="V81" s="37"/>
      <c r="W81" s="139"/>
      <c r="X81" s="35">
        <f>R81/((Q81/SUM(Q78:Q83))*L$77)</f>
        <v>26.509206972070366</v>
      </c>
      <c r="Y81" s="36"/>
      <c r="Z81" s="37"/>
      <c r="AA81" s="37"/>
      <c r="AB81" s="36"/>
      <c r="AC81" s="38"/>
      <c r="AD81" s="38"/>
      <c r="AE81" s="39"/>
    </row>
    <row r="82" spans="1:31" s="40" customFormat="1" ht="17.399999999999999" customHeight="1" x14ac:dyDescent="0.3">
      <c r="A82" s="60"/>
      <c r="B82" s="80"/>
      <c r="C82" s="80"/>
      <c r="D82" s="60"/>
      <c r="E82" s="60"/>
      <c r="F82" s="90"/>
      <c r="G82" s="90"/>
      <c r="H82" s="91"/>
      <c r="I82" s="92"/>
      <c r="J82" s="93"/>
      <c r="K82" s="81"/>
      <c r="L82" s="34"/>
      <c r="M82" s="29">
        <v>6.75</v>
      </c>
      <c r="N82" s="34">
        <f t="shared" si="18"/>
        <v>1343.25</v>
      </c>
      <c r="O82" s="84" t="s">
        <v>163</v>
      </c>
      <c r="P82" s="89">
        <v>45331</v>
      </c>
      <c r="Q82" s="29">
        <v>1.9900000000000001E-2</v>
      </c>
      <c r="R82" s="32">
        <v>450000</v>
      </c>
      <c r="S82" s="33"/>
      <c r="T82" s="36"/>
      <c r="U82" s="36"/>
      <c r="V82" s="37"/>
      <c r="W82" s="141"/>
      <c r="X82" s="35">
        <f>R82/((Q82/SUM(Q78:Q83))*L$77)</f>
        <v>13.960627591321476</v>
      </c>
      <c r="Y82" s="36"/>
      <c r="Z82" s="37"/>
      <c r="AA82" s="37"/>
      <c r="AB82" s="36"/>
      <c r="AC82" s="38"/>
      <c r="AD82" s="38"/>
      <c r="AE82" s="39"/>
    </row>
    <row r="83" spans="1:31" s="40" customFormat="1" ht="17.399999999999999" customHeight="1" x14ac:dyDescent="0.3">
      <c r="A83" s="60"/>
      <c r="B83" s="80"/>
      <c r="C83" s="80"/>
      <c r="D83" s="60"/>
      <c r="E83" s="103"/>
      <c r="F83" s="118"/>
      <c r="G83" s="118"/>
      <c r="H83" s="119"/>
      <c r="I83" s="120"/>
      <c r="J83" s="121"/>
      <c r="K83" s="105"/>
      <c r="L83" s="102"/>
      <c r="M83" s="60">
        <v>221</v>
      </c>
      <c r="N83" s="37">
        <f t="shared" si="18"/>
        <v>378108.9</v>
      </c>
      <c r="O83" s="80" t="s">
        <v>164</v>
      </c>
      <c r="P83" s="81">
        <v>45331</v>
      </c>
      <c r="Q83" s="60">
        <v>0.17108999999999999</v>
      </c>
      <c r="R83" s="63">
        <v>200000</v>
      </c>
      <c r="S83" s="107"/>
      <c r="T83" s="107"/>
      <c r="U83" s="107"/>
      <c r="V83" s="102"/>
      <c r="W83" s="139"/>
      <c r="X83" s="35">
        <f>R83/((Q83/SUM(Q78:Q83))*L$77)</f>
        <v>0.72169031001824224</v>
      </c>
      <c r="Y83" s="36"/>
      <c r="Z83" s="37"/>
      <c r="AA83" s="37"/>
      <c r="AB83" s="36"/>
      <c r="AC83" s="38"/>
      <c r="AD83" s="38"/>
      <c r="AE83" s="39"/>
    </row>
    <row r="84" spans="1:31" s="40" customFormat="1" ht="39" customHeight="1" x14ac:dyDescent="0.3">
      <c r="A84" s="94">
        <v>36</v>
      </c>
      <c r="B84" s="53" t="s">
        <v>109</v>
      </c>
      <c r="C84" s="53" t="s">
        <v>165</v>
      </c>
      <c r="D84" s="94" t="s">
        <v>166</v>
      </c>
      <c r="E84" s="75">
        <v>0.59377000000000002</v>
      </c>
      <c r="F84" s="95" t="s">
        <v>157</v>
      </c>
      <c r="G84" s="95" t="s">
        <v>167</v>
      </c>
      <c r="H84" s="96">
        <v>100</v>
      </c>
      <c r="I84" s="97">
        <v>269905</v>
      </c>
      <c r="J84" s="98" t="s">
        <v>49</v>
      </c>
      <c r="K84" s="76" t="s">
        <v>168</v>
      </c>
      <c r="L84" s="70">
        <v>500000</v>
      </c>
      <c r="M84" s="75"/>
      <c r="N84" s="70"/>
      <c r="O84" s="53"/>
      <c r="P84" s="76"/>
      <c r="Q84" s="75"/>
      <c r="R84" s="68"/>
      <c r="S84" s="69"/>
      <c r="T84" s="69"/>
      <c r="U84" s="69"/>
      <c r="V84" s="70"/>
      <c r="W84" s="138"/>
      <c r="X84" s="78"/>
      <c r="Y84" s="54">
        <f>E84*10000</f>
        <v>5937.7</v>
      </c>
      <c r="Z84" s="55">
        <f>L84</f>
        <v>500000</v>
      </c>
      <c r="AA84" s="55">
        <f t="shared" si="8"/>
        <v>84.207689846236761</v>
      </c>
      <c r="AB84" s="54">
        <f>SUM(Q85:Q86)*10000</f>
        <v>3934.7</v>
      </c>
      <c r="AC84" s="57">
        <f>SUM(R85:R86)</f>
        <v>6280000</v>
      </c>
      <c r="AD84" s="57">
        <f t="shared" si="10"/>
        <v>1596.0556077972908</v>
      </c>
      <c r="AE84" s="58">
        <f t="shared" si="16"/>
        <v>18.953798764835948</v>
      </c>
    </row>
    <row r="85" spans="1:31" s="40" customFormat="1" ht="19.2" customHeight="1" x14ac:dyDescent="0.3">
      <c r="A85" s="94"/>
      <c r="B85" s="53"/>
      <c r="C85" s="53"/>
      <c r="D85" s="94"/>
      <c r="E85" s="75"/>
      <c r="F85" s="95"/>
      <c r="G85" s="95"/>
      <c r="H85" s="96"/>
      <c r="I85" s="97"/>
      <c r="J85" s="98"/>
      <c r="K85" s="76"/>
      <c r="L85" s="70"/>
      <c r="M85" s="75">
        <v>159.5</v>
      </c>
      <c r="N85" s="70">
        <f>M85*Q85*10000</f>
        <v>146229.59999999998</v>
      </c>
      <c r="O85" s="53" t="s">
        <v>169</v>
      </c>
      <c r="P85" s="76">
        <v>45350</v>
      </c>
      <c r="Q85" s="75">
        <v>9.1679999999999998E-2</v>
      </c>
      <c r="R85" s="68">
        <v>280000</v>
      </c>
      <c r="S85" s="69"/>
      <c r="T85" s="69"/>
      <c r="U85" s="69"/>
      <c r="V85" s="70"/>
      <c r="W85" s="138"/>
      <c r="X85" s="18">
        <f>R85/((Q85/(SUM($Q$85:$Q$87)))*$L$84)</f>
        <v>3.6268673647469463</v>
      </c>
      <c r="Y85" s="54"/>
      <c r="Z85" s="55"/>
      <c r="AA85" s="55"/>
      <c r="AB85" s="54"/>
      <c r="AC85" s="57"/>
      <c r="AD85" s="57"/>
      <c r="AE85" s="58"/>
    </row>
    <row r="86" spans="1:31" s="40" customFormat="1" ht="19.2" customHeight="1" x14ac:dyDescent="0.3">
      <c r="A86" s="94"/>
      <c r="B86" s="53"/>
      <c r="C86" s="53"/>
      <c r="D86" s="94"/>
      <c r="E86" s="75"/>
      <c r="F86" s="95"/>
      <c r="G86" s="95"/>
      <c r="H86" s="96"/>
      <c r="I86" s="97"/>
      <c r="J86" s="98"/>
      <c r="K86" s="76"/>
      <c r="L86" s="70"/>
      <c r="M86" s="75">
        <v>6.5</v>
      </c>
      <c r="N86" s="70">
        <f>M86*Q86*10000</f>
        <v>19616.349999999999</v>
      </c>
      <c r="O86" s="53" t="s">
        <v>170</v>
      </c>
      <c r="P86" s="76">
        <v>45351</v>
      </c>
      <c r="Q86" s="75">
        <v>0.30179</v>
      </c>
      <c r="R86" s="68">
        <v>6000000</v>
      </c>
      <c r="S86" s="69"/>
      <c r="T86" s="69"/>
      <c r="U86" s="69"/>
      <c r="V86" s="70"/>
      <c r="W86" s="142"/>
      <c r="X86" s="18">
        <f>R86/((Q86/(SUM($Q$85:$Q$87)))*$L$84)</f>
        <v>23.609927432983202</v>
      </c>
      <c r="Y86" s="54"/>
      <c r="Z86" s="55"/>
      <c r="AA86" s="55"/>
      <c r="AB86" s="54"/>
      <c r="AC86" s="57"/>
      <c r="AD86" s="57"/>
      <c r="AE86" s="58"/>
    </row>
    <row r="87" spans="1:31" s="40" customFormat="1" ht="19.2" customHeight="1" x14ac:dyDescent="0.3">
      <c r="A87" s="94"/>
      <c r="B87" s="53"/>
      <c r="C87" s="53"/>
      <c r="D87" s="94"/>
      <c r="E87" s="75"/>
      <c r="F87" s="95"/>
      <c r="G87" s="95"/>
      <c r="H87" s="96"/>
      <c r="I87" s="97"/>
      <c r="J87" s="98"/>
      <c r="K87" s="76"/>
      <c r="L87" s="70"/>
      <c r="M87" s="75">
        <v>6.75</v>
      </c>
      <c r="N87" s="70">
        <f t="shared" ref="N87" si="19">M87*Q87*10000</f>
        <v>13520.25</v>
      </c>
      <c r="O87" s="53" t="s">
        <v>171</v>
      </c>
      <c r="P87" s="76"/>
      <c r="Q87" s="75">
        <v>0.20030000000000001</v>
      </c>
      <c r="R87" s="68">
        <v>0</v>
      </c>
      <c r="S87" s="69"/>
      <c r="T87" s="69"/>
      <c r="U87" s="69"/>
      <c r="V87" s="70"/>
      <c r="W87" s="138"/>
      <c r="X87" s="122">
        <f>AVERAGE(X85:X86)</f>
        <v>13.618397398865074</v>
      </c>
      <c r="Y87" s="54"/>
      <c r="Z87" s="55"/>
      <c r="AA87" s="55"/>
      <c r="AB87" s="54"/>
      <c r="AC87" s="57"/>
      <c r="AD87" s="57"/>
      <c r="AE87" s="58"/>
    </row>
    <row r="88" spans="1:31" s="40" customFormat="1" ht="44.4" customHeight="1" x14ac:dyDescent="0.3">
      <c r="A88" s="60">
        <v>37</v>
      </c>
      <c r="B88" s="80" t="s">
        <v>172</v>
      </c>
      <c r="C88" s="80" t="s">
        <v>173</v>
      </c>
      <c r="D88" s="60" t="s">
        <v>174</v>
      </c>
      <c r="E88" s="60">
        <v>0.72289999999999999</v>
      </c>
      <c r="F88" s="90" t="s">
        <v>157</v>
      </c>
      <c r="G88" s="90" t="s">
        <v>175</v>
      </c>
      <c r="H88" s="91">
        <v>100</v>
      </c>
      <c r="I88" s="92">
        <v>1598946</v>
      </c>
      <c r="J88" s="93">
        <v>45476</v>
      </c>
      <c r="K88" s="81" t="s">
        <v>176</v>
      </c>
      <c r="L88" s="37">
        <v>1598946</v>
      </c>
      <c r="M88" s="79"/>
      <c r="N88" s="74"/>
      <c r="O88" s="74"/>
      <c r="P88" s="74"/>
      <c r="Q88" s="74"/>
      <c r="R88" s="63"/>
      <c r="S88" s="36"/>
      <c r="T88" s="36"/>
      <c r="U88" s="36"/>
      <c r="V88" s="37"/>
      <c r="W88" s="139"/>
      <c r="X88" s="64"/>
      <c r="Y88" s="73">
        <f>E88*10000</f>
        <v>7229</v>
      </c>
      <c r="Z88" s="37">
        <f>L88</f>
        <v>1598946</v>
      </c>
      <c r="AA88" s="37">
        <f t="shared" si="8"/>
        <v>221.18494950892239</v>
      </c>
      <c r="AB88" s="73">
        <f>SUM(Q89:Q91)*10000</f>
        <v>7229.0000000000009</v>
      </c>
      <c r="AC88" s="38">
        <f>SUM(R89:R91)</f>
        <v>1720000</v>
      </c>
      <c r="AD88" s="38">
        <f t="shared" si="10"/>
        <v>237.93055747682942</v>
      </c>
      <c r="AE88" s="39">
        <f t="shared" si="16"/>
        <v>1.0757086230554378</v>
      </c>
    </row>
    <row r="89" spans="1:31" s="40" customFormat="1" ht="20.399999999999999" customHeight="1" x14ac:dyDescent="0.3">
      <c r="A89" s="60"/>
      <c r="B89" s="80"/>
      <c r="C89" s="80"/>
      <c r="D89" s="60"/>
      <c r="E89" s="60"/>
      <c r="F89" s="90"/>
      <c r="G89" s="90"/>
      <c r="H89" s="91"/>
      <c r="I89" s="92"/>
      <c r="J89" s="93"/>
      <c r="K89" s="81"/>
      <c r="L89" s="37"/>
      <c r="M89" s="60">
        <v>132.75</v>
      </c>
      <c r="N89" s="37">
        <f>M89*Q89*10000</f>
        <v>518627.70000000007</v>
      </c>
      <c r="O89" s="80" t="s">
        <v>177</v>
      </c>
      <c r="P89" s="81">
        <v>45475</v>
      </c>
      <c r="Q89" s="60">
        <v>0.39068000000000003</v>
      </c>
      <c r="R89" s="63">
        <v>1000000</v>
      </c>
      <c r="S89" s="36"/>
      <c r="T89" s="36"/>
      <c r="U89" s="36"/>
      <c r="V89" s="37"/>
      <c r="W89" s="139"/>
      <c r="X89" s="35">
        <f>R89/((Q89/SUM($Q$89:$Q$91))*$L$88)</f>
        <v>1.1572394995350623</v>
      </c>
      <c r="Y89" s="36"/>
      <c r="Z89" s="37"/>
      <c r="AA89" s="37"/>
      <c r="AB89" s="36"/>
      <c r="AC89" s="38"/>
      <c r="AD89" s="38"/>
      <c r="AE89" s="39"/>
    </row>
    <row r="90" spans="1:31" s="40" customFormat="1" ht="20.399999999999999" customHeight="1" x14ac:dyDescent="0.3">
      <c r="A90" s="60"/>
      <c r="B90" s="80"/>
      <c r="C90" s="80"/>
      <c r="D90" s="60"/>
      <c r="E90" s="60"/>
      <c r="F90" s="90"/>
      <c r="G90" s="90"/>
      <c r="H90" s="91"/>
      <c r="I90" s="92"/>
      <c r="J90" s="93"/>
      <c r="K90" s="81"/>
      <c r="L90" s="37"/>
      <c r="M90" s="60">
        <v>403.75</v>
      </c>
      <c r="N90" s="37">
        <f t="shared" ref="N90:N91" si="20">M90*Q90*10000</f>
        <v>1053787.5</v>
      </c>
      <c r="O90" s="80" t="s">
        <v>178</v>
      </c>
      <c r="P90" s="81">
        <v>45380</v>
      </c>
      <c r="Q90" s="60">
        <v>0.26100000000000001</v>
      </c>
      <c r="R90" s="63">
        <v>470000</v>
      </c>
      <c r="S90" s="36"/>
      <c r="T90" s="36"/>
      <c r="U90" s="36"/>
      <c r="V90" s="37"/>
      <c r="W90" s="139"/>
      <c r="X90" s="35">
        <f>R90/((Q90/SUM($Q$89:$Q$91))*$L$88)</f>
        <v>0.8141450345165836</v>
      </c>
      <c r="Y90" s="36"/>
      <c r="Z90" s="37"/>
      <c r="AA90" s="37"/>
      <c r="AB90" s="36"/>
      <c r="AC90" s="38"/>
      <c r="AD90" s="38"/>
      <c r="AE90" s="39"/>
    </row>
    <row r="91" spans="1:31" s="40" customFormat="1" ht="20.399999999999999" customHeight="1" x14ac:dyDescent="0.3">
      <c r="A91" s="60"/>
      <c r="B91" s="80"/>
      <c r="C91" s="80"/>
      <c r="D91" s="60"/>
      <c r="E91" s="60"/>
      <c r="F91" s="90"/>
      <c r="G91" s="90"/>
      <c r="H91" s="91"/>
      <c r="I91" s="92"/>
      <c r="J91" s="93"/>
      <c r="K91" s="81"/>
      <c r="L91" s="37"/>
      <c r="M91" s="60">
        <v>37.25</v>
      </c>
      <c r="N91" s="37">
        <f t="shared" si="20"/>
        <v>26529.450000000004</v>
      </c>
      <c r="O91" s="80" t="s">
        <v>179</v>
      </c>
      <c r="P91" s="81">
        <v>45380</v>
      </c>
      <c r="Q91" s="60">
        <v>7.1220000000000006E-2</v>
      </c>
      <c r="R91" s="63">
        <v>250000</v>
      </c>
      <c r="S91" s="36"/>
      <c r="T91" s="36"/>
      <c r="U91" s="36"/>
      <c r="V91" s="37"/>
      <c r="W91" s="139"/>
      <c r="X91" s="35">
        <f>R91/((Q91/SUM($Q$89:$Q$91))*$L$88)</f>
        <v>1.587020245992552</v>
      </c>
      <c r="Y91" s="36"/>
      <c r="Z91" s="37"/>
      <c r="AA91" s="37"/>
      <c r="AB91" s="36"/>
      <c r="AC91" s="38"/>
      <c r="AD91" s="38"/>
      <c r="AE91" s="39"/>
    </row>
    <row r="92" spans="1:31" s="40" customFormat="1" ht="47.4" customHeight="1" x14ac:dyDescent="0.3">
      <c r="A92" s="94">
        <v>38</v>
      </c>
      <c r="B92" s="53" t="s">
        <v>180</v>
      </c>
      <c r="C92" s="53" t="s">
        <v>181</v>
      </c>
      <c r="D92" s="94" t="s">
        <v>182</v>
      </c>
      <c r="E92" s="94">
        <v>0.46210000000000001</v>
      </c>
      <c r="F92" s="123" t="s">
        <v>157</v>
      </c>
      <c r="G92" s="123" t="s">
        <v>183</v>
      </c>
      <c r="H92" s="124">
        <v>100</v>
      </c>
      <c r="I92" s="125">
        <v>31194</v>
      </c>
      <c r="J92" s="126">
        <v>45476</v>
      </c>
      <c r="K92" s="127">
        <v>45629</v>
      </c>
      <c r="L92" s="55">
        <v>150000</v>
      </c>
      <c r="M92" s="94"/>
      <c r="N92" s="55"/>
      <c r="O92" s="53"/>
      <c r="P92" s="127"/>
      <c r="Q92" s="94"/>
      <c r="R92" s="52"/>
      <c r="S92" s="54"/>
      <c r="T92" s="54"/>
      <c r="U92" s="54"/>
      <c r="V92" s="55"/>
      <c r="W92" s="138"/>
      <c r="X92" s="78"/>
      <c r="Y92" s="71">
        <f>E92*10000</f>
        <v>4621</v>
      </c>
      <c r="Z92" s="55">
        <f>L92</f>
        <v>150000</v>
      </c>
      <c r="AA92" s="55">
        <f t="shared" ref="AA92:AA103" si="21">Z92/Y92</f>
        <v>32.460506383899592</v>
      </c>
      <c r="AB92" s="71">
        <f>Q95*10000</f>
        <v>1742</v>
      </c>
      <c r="AC92" s="57">
        <f>R95</f>
        <v>300000</v>
      </c>
      <c r="AD92" s="57">
        <f t="shared" ref="AD92:AD103" si="22">AC92/AB92</f>
        <v>172.21584385763489</v>
      </c>
      <c r="AE92" s="58">
        <f t="shared" si="16"/>
        <v>5.3053960964408722</v>
      </c>
    </row>
    <row r="93" spans="1:31" s="40" customFormat="1" ht="21" customHeight="1" x14ac:dyDescent="0.3">
      <c r="A93" s="94"/>
      <c r="B93" s="53"/>
      <c r="C93" s="53"/>
      <c r="D93" s="94"/>
      <c r="E93" s="94"/>
      <c r="F93" s="123"/>
      <c r="G93" s="123"/>
      <c r="H93" s="124"/>
      <c r="I93" s="125"/>
      <c r="J93" s="126"/>
      <c r="K93" s="127"/>
      <c r="L93" s="55"/>
      <c r="M93" s="94">
        <v>6.75</v>
      </c>
      <c r="N93" s="55">
        <f>M93*Q93*10000</f>
        <v>10867.500000000002</v>
      </c>
      <c r="O93" s="53" t="s">
        <v>184</v>
      </c>
      <c r="P93" s="127"/>
      <c r="Q93" s="94">
        <v>0.161</v>
      </c>
      <c r="R93" s="52">
        <v>0</v>
      </c>
      <c r="S93" s="54"/>
      <c r="T93" s="54"/>
      <c r="U93" s="54"/>
      <c r="V93" s="55"/>
      <c r="W93" s="138"/>
      <c r="X93" s="78"/>
      <c r="Y93" s="54"/>
      <c r="Z93" s="55"/>
      <c r="AA93" s="55"/>
      <c r="AB93" s="54"/>
      <c r="AC93" s="57"/>
      <c r="AD93" s="57"/>
      <c r="AE93" s="58"/>
    </row>
    <row r="94" spans="1:31" s="40" customFormat="1" ht="21" customHeight="1" x14ac:dyDescent="0.3">
      <c r="A94" s="94"/>
      <c r="B94" s="53"/>
      <c r="C94" s="53"/>
      <c r="D94" s="94"/>
      <c r="E94" s="94"/>
      <c r="F94" s="123"/>
      <c r="G94" s="123"/>
      <c r="H94" s="124"/>
      <c r="I94" s="125"/>
      <c r="J94" s="126"/>
      <c r="K94" s="127"/>
      <c r="L94" s="55"/>
      <c r="M94" s="94">
        <v>6.75</v>
      </c>
      <c r="N94" s="55">
        <f t="shared" ref="N94:N95" si="23">M94*Q94*10000</f>
        <v>8565.75</v>
      </c>
      <c r="O94" s="53" t="s">
        <v>185</v>
      </c>
      <c r="P94" s="127"/>
      <c r="Q94" s="94">
        <v>0.12690000000000001</v>
      </c>
      <c r="R94" s="52">
        <v>0</v>
      </c>
      <c r="S94" s="54"/>
      <c r="T94" s="54"/>
      <c r="U94" s="54"/>
      <c r="V94" s="55"/>
      <c r="W94" s="138"/>
      <c r="X94" s="78"/>
      <c r="Y94" s="54"/>
      <c r="Z94" s="55"/>
      <c r="AA94" s="55"/>
      <c r="AB94" s="54"/>
      <c r="AC94" s="57"/>
      <c r="AD94" s="57"/>
      <c r="AE94" s="58"/>
    </row>
    <row r="95" spans="1:31" s="40" customFormat="1" ht="21" customHeight="1" x14ac:dyDescent="0.3">
      <c r="A95" s="94"/>
      <c r="B95" s="53"/>
      <c r="C95" s="53"/>
      <c r="D95" s="94"/>
      <c r="E95" s="94"/>
      <c r="F95" s="123"/>
      <c r="G95" s="123"/>
      <c r="H95" s="124"/>
      <c r="I95" s="125"/>
      <c r="J95" s="126"/>
      <c r="K95" s="127"/>
      <c r="L95" s="55"/>
      <c r="M95" s="94">
        <v>6.75</v>
      </c>
      <c r="N95" s="55">
        <f t="shared" si="23"/>
        <v>11758.5</v>
      </c>
      <c r="O95" s="53" t="s">
        <v>186</v>
      </c>
      <c r="P95" s="127">
        <v>45877</v>
      </c>
      <c r="Q95" s="94">
        <v>0.17419999999999999</v>
      </c>
      <c r="R95" s="52">
        <v>300000</v>
      </c>
      <c r="S95" s="54"/>
      <c r="T95" s="54"/>
      <c r="U95" s="54"/>
      <c r="V95" s="55"/>
      <c r="W95" s="138"/>
      <c r="X95" s="18">
        <f>R95/((Q95/SUM(Q93:Q95))*L92)</f>
        <v>5.3053960964408731</v>
      </c>
      <c r="Y95" s="54"/>
      <c r="Z95" s="55"/>
      <c r="AA95" s="55"/>
      <c r="AB95" s="54"/>
      <c r="AC95" s="57"/>
      <c r="AD95" s="57"/>
      <c r="AE95" s="58"/>
    </row>
    <row r="96" spans="1:31" s="40" customFormat="1" ht="39" customHeight="1" x14ac:dyDescent="0.3">
      <c r="A96" s="60">
        <v>39</v>
      </c>
      <c r="B96" s="80" t="s">
        <v>154</v>
      </c>
      <c r="C96" s="80" t="s">
        <v>187</v>
      </c>
      <c r="D96" s="60" t="s">
        <v>188</v>
      </c>
      <c r="E96" s="60">
        <v>0.74351</v>
      </c>
      <c r="F96" s="90" t="s">
        <v>157</v>
      </c>
      <c r="G96" s="90" t="s">
        <v>189</v>
      </c>
      <c r="H96" s="91">
        <v>200</v>
      </c>
      <c r="I96" s="92">
        <v>491448</v>
      </c>
      <c r="J96" s="93" t="s">
        <v>55</v>
      </c>
      <c r="K96" s="81">
        <v>45356</v>
      </c>
      <c r="L96" s="37">
        <v>982896</v>
      </c>
      <c r="M96" s="79"/>
      <c r="N96" s="74"/>
      <c r="O96" s="74"/>
      <c r="P96" s="74"/>
      <c r="Q96" s="74"/>
      <c r="R96" s="63"/>
      <c r="S96" s="36"/>
      <c r="T96" s="36"/>
      <c r="U96" s="36"/>
      <c r="V96" s="37"/>
      <c r="W96" s="139" t="s">
        <v>190</v>
      </c>
      <c r="X96" s="64"/>
      <c r="Y96" s="73">
        <f>E96*10000</f>
        <v>7435.1</v>
      </c>
      <c r="Z96" s="37">
        <f>L96</f>
        <v>982896</v>
      </c>
      <c r="AA96" s="37">
        <f t="shared" si="21"/>
        <v>132.19674247824508</v>
      </c>
      <c r="AB96" s="36"/>
      <c r="AC96" s="38"/>
      <c r="AD96" s="38"/>
      <c r="AE96" s="39"/>
    </row>
    <row r="97" spans="1:31" s="40" customFormat="1" ht="27.6" customHeight="1" x14ac:dyDescent="0.3">
      <c r="A97" s="60"/>
      <c r="B97" s="80"/>
      <c r="C97" s="80"/>
      <c r="D97" s="60"/>
      <c r="E97" s="60"/>
      <c r="F97" s="90"/>
      <c r="G97" s="90"/>
      <c r="H97" s="91"/>
      <c r="I97" s="92"/>
      <c r="J97" s="93"/>
      <c r="K97" s="81"/>
      <c r="L97" s="37"/>
      <c r="M97" s="60" t="s">
        <v>191</v>
      </c>
      <c r="N97" s="37">
        <f>0.39482*118.5*10000+0.31979*6.75*10000+0.96232*118.5*10000</f>
        <v>1629796.7250000001</v>
      </c>
      <c r="O97" s="80" t="s">
        <v>192</v>
      </c>
      <c r="P97" s="81">
        <v>45460</v>
      </c>
      <c r="Q97" s="60">
        <v>0.5</v>
      </c>
      <c r="R97" s="63">
        <v>450000</v>
      </c>
      <c r="S97" s="36"/>
      <c r="T97" s="36"/>
      <c r="U97" s="36"/>
      <c r="V97" s="37"/>
      <c r="W97" s="139"/>
      <c r="X97" s="64" t="s">
        <v>193</v>
      </c>
      <c r="Y97" s="36"/>
      <c r="Z97" s="37"/>
      <c r="AA97" s="37"/>
      <c r="AB97" s="36"/>
      <c r="AC97" s="38"/>
      <c r="AD97" s="38"/>
      <c r="AE97" s="39"/>
    </row>
    <row r="98" spans="1:31" s="40" customFormat="1" ht="18.600000000000001" customHeight="1" x14ac:dyDescent="0.3">
      <c r="A98" s="60"/>
      <c r="B98" s="80"/>
      <c r="C98" s="80"/>
      <c r="D98" s="60"/>
      <c r="E98" s="60"/>
      <c r="F98" s="90"/>
      <c r="G98" s="90"/>
      <c r="H98" s="91"/>
      <c r="I98" s="92"/>
      <c r="J98" s="93"/>
      <c r="K98" s="81"/>
      <c r="L98" s="37"/>
      <c r="M98" s="60">
        <v>6.75</v>
      </c>
      <c r="N98" s="37">
        <f t="shared" ref="N98" si="24">M98*Q98*10000</f>
        <v>1950.75</v>
      </c>
      <c r="O98" s="80" t="s">
        <v>194</v>
      </c>
      <c r="P98" s="81">
        <v>45446</v>
      </c>
      <c r="Q98" s="60">
        <v>2.8899999999999999E-2</v>
      </c>
      <c r="R98" s="63">
        <v>400000</v>
      </c>
      <c r="S98" s="36"/>
      <c r="T98" s="36"/>
      <c r="U98" s="36"/>
      <c r="V98" s="37"/>
      <c r="W98" s="139"/>
      <c r="X98" s="35">
        <f>R98/((Q98/E96)*L96)</f>
        <v>10.469872547808583</v>
      </c>
      <c r="Y98" s="36"/>
      <c r="Z98" s="37"/>
      <c r="AA98" s="37"/>
      <c r="AB98" s="36"/>
      <c r="AC98" s="38"/>
      <c r="AD98" s="38"/>
      <c r="AE98" s="39"/>
    </row>
    <row r="99" spans="1:31" s="40" customFormat="1" ht="40.950000000000003" customHeight="1" x14ac:dyDescent="0.3">
      <c r="A99" s="94">
        <v>40</v>
      </c>
      <c r="B99" s="53" t="s">
        <v>154</v>
      </c>
      <c r="C99" s="53" t="s">
        <v>195</v>
      </c>
      <c r="D99" s="94" t="s">
        <v>196</v>
      </c>
      <c r="E99" s="94">
        <v>1.5463199999999999</v>
      </c>
      <c r="F99" s="123" t="s">
        <v>157</v>
      </c>
      <c r="G99" s="123" t="s">
        <v>197</v>
      </c>
      <c r="H99" s="124">
        <v>100</v>
      </c>
      <c r="I99" s="125">
        <v>1233498</v>
      </c>
      <c r="J99" s="126" t="s">
        <v>55</v>
      </c>
      <c r="K99" s="127">
        <v>45356</v>
      </c>
      <c r="L99" s="55">
        <v>1233498</v>
      </c>
      <c r="M99" s="94"/>
      <c r="N99" s="55"/>
      <c r="O99" s="53"/>
      <c r="P99" s="127"/>
      <c r="Q99" s="94"/>
      <c r="R99" s="52"/>
      <c r="S99" s="54"/>
      <c r="T99" s="54"/>
      <c r="U99" s="54"/>
      <c r="V99" s="55"/>
      <c r="W99" s="138" t="s">
        <v>198</v>
      </c>
      <c r="X99" s="78"/>
      <c r="Y99" s="71">
        <f>E99*10000</f>
        <v>15463.199999999999</v>
      </c>
      <c r="Z99" s="55">
        <f>L99</f>
        <v>1233498</v>
      </c>
      <c r="AA99" s="55">
        <f t="shared" si="21"/>
        <v>79.76990532360702</v>
      </c>
      <c r="AB99" s="54"/>
      <c r="AC99" s="57"/>
      <c r="AD99" s="57"/>
      <c r="AE99" s="58"/>
    </row>
    <row r="100" spans="1:31" s="40" customFormat="1" ht="24" customHeight="1" x14ac:dyDescent="0.3">
      <c r="A100" s="94"/>
      <c r="B100" s="53"/>
      <c r="C100" s="53"/>
      <c r="D100" s="94"/>
      <c r="E100" s="94"/>
      <c r="F100" s="123"/>
      <c r="G100" s="123"/>
      <c r="H100" s="124"/>
      <c r="I100" s="125"/>
      <c r="J100" s="126"/>
      <c r="K100" s="127"/>
      <c r="L100" s="55"/>
      <c r="M100" s="94" t="s">
        <v>191</v>
      </c>
      <c r="N100" s="55">
        <f>0.39482*118.5*10000+0.31979*6.75*10000+0.96232*118.5*10000</f>
        <v>1629796.7250000001</v>
      </c>
      <c r="O100" s="53" t="s">
        <v>192</v>
      </c>
      <c r="P100" s="127">
        <v>45460</v>
      </c>
      <c r="Q100" s="94">
        <v>0.5</v>
      </c>
      <c r="R100" s="52">
        <v>450000</v>
      </c>
      <c r="S100" s="54"/>
      <c r="T100" s="54"/>
      <c r="U100" s="54"/>
      <c r="V100" s="55"/>
      <c r="W100" s="138"/>
      <c r="X100" s="78" t="s">
        <v>193</v>
      </c>
      <c r="Y100" s="71"/>
      <c r="Z100" s="55"/>
      <c r="AA100" s="55"/>
      <c r="AB100" s="54"/>
      <c r="AC100" s="57"/>
      <c r="AD100" s="57"/>
      <c r="AE100" s="58"/>
    </row>
    <row r="101" spans="1:31" s="40" customFormat="1" ht="19.2" customHeight="1" x14ac:dyDescent="0.3">
      <c r="A101" s="94"/>
      <c r="B101" s="53"/>
      <c r="C101" s="53"/>
      <c r="D101" s="94"/>
      <c r="E101" s="94"/>
      <c r="F101" s="123"/>
      <c r="G101" s="123"/>
      <c r="H101" s="124"/>
      <c r="I101" s="125"/>
      <c r="J101" s="126"/>
      <c r="K101" s="127"/>
      <c r="L101" s="55"/>
      <c r="M101" s="94">
        <v>159.5</v>
      </c>
      <c r="N101" s="55"/>
      <c r="O101" s="53" t="s">
        <v>199</v>
      </c>
      <c r="P101" s="127">
        <v>45446</v>
      </c>
      <c r="Q101" s="94">
        <v>0.58399999999999996</v>
      </c>
      <c r="R101" s="52">
        <v>400000</v>
      </c>
      <c r="S101" s="54"/>
      <c r="T101" s="54"/>
      <c r="U101" s="54"/>
      <c r="V101" s="55"/>
      <c r="W101" s="142"/>
      <c r="X101" s="18">
        <f>R101/((Q101/E99)*L99)</f>
        <v>0.85863397238684847</v>
      </c>
      <c r="Y101" s="71"/>
      <c r="Z101" s="55"/>
      <c r="AA101" s="55"/>
      <c r="AB101" s="54"/>
      <c r="AC101" s="57"/>
      <c r="AD101" s="57"/>
      <c r="AE101" s="58"/>
    </row>
    <row r="102" spans="1:31" s="40" customFormat="1" ht="39" customHeight="1" x14ac:dyDescent="0.3">
      <c r="A102" s="60">
        <v>41</v>
      </c>
      <c r="B102" s="80" t="s">
        <v>200</v>
      </c>
      <c r="C102" s="80" t="s">
        <v>201</v>
      </c>
      <c r="D102" s="60">
        <v>0.95045999999999997</v>
      </c>
      <c r="E102" s="60">
        <v>0.95045999999999997</v>
      </c>
      <c r="F102" s="90"/>
      <c r="G102" s="90" t="s">
        <v>202</v>
      </c>
      <c r="H102" s="91">
        <v>200</v>
      </c>
      <c r="I102" s="92">
        <v>346918</v>
      </c>
      <c r="J102" s="93" t="s">
        <v>55</v>
      </c>
      <c r="K102" s="81">
        <v>45478</v>
      </c>
      <c r="L102" s="37">
        <v>2400000</v>
      </c>
      <c r="M102" s="79">
        <v>36.5</v>
      </c>
      <c r="N102" s="102">
        <f>+M102*E102*10000</f>
        <v>346917.89999999997</v>
      </c>
      <c r="O102" s="74"/>
      <c r="P102" s="81" t="s">
        <v>203</v>
      </c>
      <c r="Q102" s="74"/>
      <c r="R102" s="63">
        <v>280000</v>
      </c>
      <c r="S102" s="36"/>
      <c r="T102" s="36"/>
      <c r="U102" s="36"/>
      <c r="V102" s="37"/>
      <c r="W102" s="139"/>
      <c r="X102" s="35">
        <f>R102/L102</f>
        <v>0.11666666666666667</v>
      </c>
      <c r="Y102" s="73">
        <f>E102*10000</f>
        <v>9504.6</v>
      </c>
      <c r="Z102" s="37">
        <f>L102</f>
        <v>2400000</v>
      </c>
      <c r="AA102" s="37">
        <f t="shared" si="21"/>
        <v>252.50931128085347</v>
      </c>
      <c r="AB102" s="36">
        <f t="shared" si="15"/>
        <v>9504.6</v>
      </c>
      <c r="AC102" s="38">
        <f>R102</f>
        <v>280000</v>
      </c>
      <c r="AD102" s="38">
        <f t="shared" si="22"/>
        <v>29.459419649432906</v>
      </c>
      <c r="AE102" s="39">
        <f t="shared" si="16"/>
        <v>0.11666666666666667</v>
      </c>
    </row>
    <row r="103" spans="1:31" s="40" customFormat="1" ht="110.4" customHeight="1" x14ac:dyDescent="0.3">
      <c r="A103" s="94">
        <v>42</v>
      </c>
      <c r="B103" s="53" t="s">
        <v>109</v>
      </c>
      <c r="C103" s="53" t="s">
        <v>204</v>
      </c>
      <c r="D103" s="94" t="s">
        <v>205</v>
      </c>
      <c r="E103" s="94">
        <v>1.80389</v>
      </c>
      <c r="F103" s="123" t="s">
        <v>157</v>
      </c>
      <c r="G103" s="123" t="s">
        <v>206</v>
      </c>
      <c r="H103" s="124" t="s">
        <v>207</v>
      </c>
      <c r="I103" s="125" t="s">
        <v>208</v>
      </c>
      <c r="J103" s="126" t="s">
        <v>62</v>
      </c>
      <c r="K103" s="127" t="s">
        <v>209</v>
      </c>
      <c r="L103" s="55">
        <v>389590</v>
      </c>
      <c r="M103" s="94"/>
      <c r="N103" s="55"/>
      <c r="O103" s="53"/>
      <c r="P103" s="127"/>
      <c r="Q103" s="94"/>
      <c r="R103" s="52"/>
      <c r="S103" s="54"/>
      <c r="T103" s="54"/>
      <c r="U103" s="54"/>
      <c r="V103" s="55"/>
      <c r="W103" s="138"/>
      <c r="X103" s="78"/>
      <c r="Y103" s="71">
        <f>E103*10000</f>
        <v>18038.900000000001</v>
      </c>
      <c r="Z103" s="55">
        <f>L103</f>
        <v>389590</v>
      </c>
      <c r="AA103" s="55">
        <f t="shared" si="21"/>
        <v>21.597214907782625</v>
      </c>
      <c r="AB103" s="54">
        <f>SUM(Q104,Q105,Q107)*10000</f>
        <v>14611.4</v>
      </c>
      <c r="AC103" s="57">
        <f>SUM(R104,R105,R107)</f>
        <v>3637464</v>
      </c>
      <c r="AD103" s="57">
        <f t="shared" si="22"/>
        <v>248.9469865995045</v>
      </c>
      <c r="AE103" s="58">
        <f t="shared" si="16"/>
        <v>11.526809714237537</v>
      </c>
    </row>
    <row r="104" spans="1:31" s="40" customFormat="1" ht="25.95" customHeight="1" x14ac:dyDescent="0.3">
      <c r="A104" s="94"/>
      <c r="B104" s="53"/>
      <c r="C104" s="53"/>
      <c r="D104" s="94"/>
      <c r="E104" s="94"/>
      <c r="F104" s="123"/>
      <c r="G104" s="123"/>
      <c r="H104" s="124"/>
      <c r="I104" s="125"/>
      <c r="J104" s="126"/>
      <c r="K104" s="127"/>
      <c r="L104" s="55"/>
      <c r="M104" s="94" t="s">
        <v>210</v>
      </c>
      <c r="N104" s="55">
        <f>Q104*118.5*10000</f>
        <v>93342.450000000012</v>
      </c>
      <c r="O104" s="53" t="s">
        <v>211</v>
      </c>
      <c r="P104" s="127" t="s">
        <v>212</v>
      </c>
      <c r="Q104" s="94">
        <v>7.8770000000000007E-2</v>
      </c>
      <c r="R104" s="52">
        <v>300000</v>
      </c>
      <c r="S104" s="54"/>
      <c r="T104" s="54"/>
      <c r="U104" s="54"/>
      <c r="V104" s="55"/>
      <c r="W104" s="138"/>
      <c r="X104" s="18">
        <f>R104/N104</f>
        <v>3.213971778113816</v>
      </c>
      <c r="Y104" s="71"/>
      <c r="Z104" s="55"/>
      <c r="AA104" s="55"/>
      <c r="AB104" s="54"/>
      <c r="AC104" s="57"/>
      <c r="AD104" s="57"/>
      <c r="AE104" s="58"/>
    </row>
    <row r="105" spans="1:31" s="40" customFormat="1" ht="18" customHeight="1" x14ac:dyDescent="0.3">
      <c r="A105" s="94"/>
      <c r="B105" s="53"/>
      <c r="C105" s="53"/>
      <c r="D105" s="94"/>
      <c r="E105" s="94"/>
      <c r="F105" s="123"/>
      <c r="G105" s="123"/>
      <c r="H105" s="124"/>
      <c r="I105" s="125"/>
      <c r="J105" s="126"/>
      <c r="K105" s="127"/>
      <c r="L105" s="55"/>
      <c r="M105" s="94">
        <v>118.5</v>
      </c>
      <c r="N105" s="55">
        <f>Q105*M105*10000</f>
        <v>33286.65</v>
      </c>
      <c r="O105" s="53" t="s">
        <v>213</v>
      </c>
      <c r="P105" s="127" t="s">
        <v>214</v>
      </c>
      <c r="Q105" s="94">
        <v>2.809E-2</v>
      </c>
      <c r="R105" s="52">
        <v>180000</v>
      </c>
      <c r="S105" s="54"/>
      <c r="T105" s="54"/>
      <c r="U105" s="54"/>
      <c r="V105" s="55"/>
      <c r="W105" s="138"/>
      <c r="X105" s="18">
        <f>R105/N105</f>
        <v>5.4075733064156353</v>
      </c>
      <c r="Y105" s="71"/>
      <c r="Z105" s="55"/>
      <c r="AA105" s="55"/>
      <c r="AB105" s="54"/>
      <c r="AC105" s="57"/>
      <c r="AD105" s="57"/>
      <c r="AE105" s="58"/>
    </row>
    <row r="106" spans="1:31" s="40" customFormat="1" ht="18" customHeight="1" x14ac:dyDescent="0.3">
      <c r="A106" s="94"/>
      <c r="B106" s="53"/>
      <c r="C106" s="53"/>
      <c r="D106" s="94"/>
      <c r="E106" s="94"/>
      <c r="F106" s="123"/>
      <c r="G106" s="123"/>
      <c r="H106" s="124"/>
      <c r="I106" s="125"/>
      <c r="J106" s="126"/>
      <c r="K106" s="127"/>
      <c r="L106" s="55"/>
      <c r="M106" s="94">
        <v>6.75</v>
      </c>
      <c r="N106" s="55">
        <f t="shared" ref="N106:N110" si="25">Q106*M106*10000</f>
        <v>1566</v>
      </c>
      <c r="O106" s="53" t="s">
        <v>215</v>
      </c>
      <c r="P106" s="127"/>
      <c r="Q106" s="94">
        <v>2.3199999999999998E-2</v>
      </c>
      <c r="R106" s="52">
        <v>0</v>
      </c>
      <c r="S106" s="54"/>
      <c r="T106" s="54"/>
      <c r="U106" s="54"/>
      <c r="V106" s="55"/>
      <c r="W106" s="138"/>
      <c r="X106" s="18"/>
      <c r="Y106" s="71"/>
      <c r="Z106" s="55"/>
      <c r="AA106" s="55"/>
      <c r="AB106" s="54"/>
      <c r="AC106" s="57"/>
      <c r="AD106" s="57"/>
      <c r="AE106" s="58"/>
    </row>
    <row r="107" spans="1:31" s="40" customFormat="1" ht="18" customHeight="1" x14ac:dyDescent="0.3">
      <c r="A107" s="94"/>
      <c r="B107" s="53"/>
      <c r="C107" s="53"/>
      <c r="D107" s="94"/>
      <c r="E107" s="94"/>
      <c r="F107" s="123"/>
      <c r="G107" s="123"/>
      <c r="H107" s="124"/>
      <c r="I107" s="125"/>
      <c r="J107" s="126"/>
      <c r="K107" s="127"/>
      <c r="L107" s="55"/>
      <c r="M107" s="94">
        <v>6.75</v>
      </c>
      <c r="N107" s="55">
        <f t="shared" si="25"/>
        <v>91413.9</v>
      </c>
      <c r="O107" s="53" t="s">
        <v>216</v>
      </c>
      <c r="P107" s="127" t="s">
        <v>217</v>
      </c>
      <c r="Q107" s="94">
        <v>1.3542799999999999</v>
      </c>
      <c r="R107" s="52">
        <v>3157464</v>
      </c>
      <c r="S107" s="54"/>
      <c r="T107" s="54"/>
      <c r="U107" s="54"/>
      <c r="V107" s="55"/>
      <c r="W107" s="138"/>
      <c r="X107" s="18">
        <f>R107/(N107*2)</f>
        <v>17.270152569795187</v>
      </c>
      <c r="Y107" s="71"/>
      <c r="Z107" s="55"/>
      <c r="AA107" s="55"/>
      <c r="AB107" s="54"/>
      <c r="AC107" s="57"/>
      <c r="AD107" s="57"/>
      <c r="AE107" s="50"/>
    </row>
    <row r="108" spans="1:31" s="40" customFormat="1" ht="18" customHeight="1" x14ac:dyDescent="0.3">
      <c r="A108" s="94"/>
      <c r="B108" s="53"/>
      <c r="C108" s="53"/>
      <c r="D108" s="94"/>
      <c r="E108" s="94"/>
      <c r="F108" s="123"/>
      <c r="G108" s="123"/>
      <c r="H108" s="124"/>
      <c r="I108" s="125"/>
      <c r="J108" s="126"/>
      <c r="K108" s="127"/>
      <c r="L108" s="55"/>
      <c r="M108" s="94">
        <v>6.75</v>
      </c>
      <c r="N108" s="55">
        <f t="shared" si="25"/>
        <v>5824.5750000000007</v>
      </c>
      <c r="O108" s="53" t="s">
        <v>218</v>
      </c>
      <c r="P108" s="127"/>
      <c r="Q108" s="94">
        <v>8.6290000000000006E-2</v>
      </c>
      <c r="R108" s="52">
        <v>0</v>
      </c>
      <c r="S108" s="54"/>
      <c r="T108" s="54"/>
      <c r="U108" s="54"/>
      <c r="V108" s="55"/>
      <c r="W108" s="138"/>
      <c r="X108" s="18"/>
      <c r="Y108" s="71"/>
      <c r="Z108" s="55"/>
      <c r="AA108" s="55"/>
      <c r="AB108" s="54"/>
      <c r="AC108" s="57"/>
      <c r="AD108" s="57"/>
      <c r="AE108" s="50"/>
    </row>
    <row r="109" spans="1:31" s="40" customFormat="1" ht="18" customHeight="1" x14ac:dyDescent="0.3">
      <c r="A109" s="94"/>
      <c r="B109" s="53"/>
      <c r="C109" s="53"/>
      <c r="D109" s="94"/>
      <c r="E109" s="94"/>
      <c r="F109" s="123"/>
      <c r="G109" s="123"/>
      <c r="H109" s="124"/>
      <c r="I109" s="125"/>
      <c r="J109" s="126"/>
      <c r="K109" s="127"/>
      <c r="L109" s="55"/>
      <c r="M109" s="94">
        <v>6.75</v>
      </c>
      <c r="N109" s="55">
        <f t="shared" si="25"/>
        <v>6653.4749999999995</v>
      </c>
      <c r="O109" s="53" t="s">
        <v>219</v>
      </c>
      <c r="P109" s="127"/>
      <c r="Q109" s="94">
        <v>9.8570000000000005E-2</v>
      </c>
      <c r="R109" s="52">
        <v>0</v>
      </c>
      <c r="S109" s="54"/>
      <c r="T109" s="54"/>
      <c r="U109" s="54"/>
      <c r="V109" s="55"/>
      <c r="W109" s="138"/>
      <c r="X109" s="18"/>
      <c r="Y109" s="71"/>
      <c r="Z109" s="55"/>
      <c r="AA109" s="55"/>
      <c r="AB109" s="54"/>
      <c r="AC109" s="57"/>
      <c r="AD109" s="57"/>
      <c r="AE109" s="50"/>
    </row>
    <row r="110" spans="1:31" s="40" customFormat="1" ht="18" customHeight="1" x14ac:dyDescent="0.3">
      <c r="A110" s="94"/>
      <c r="B110" s="53"/>
      <c r="C110" s="53"/>
      <c r="D110" s="94"/>
      <c r="E110" s="94"/>
      <c r="F110" s="123"/>
      <c r="G110" s="123"/>
      <c r="H110" s="124"/>
      <c r="I110" s="125"/>
      <c r="J110" s="126"/>
      <c r="K110" s="127"/>
      <c r="L110" s="55"/>
      <c r="M110" s="94">
        <v>6.75</v>
      </c>
      <c r="N110" s="55">
        <f t="shared" si="25"/>
        <v>9091.5750000000007</v>
      </c>
      <c r="O110" s="53" t="s">
        <v>220</v>
      </c>
      <c r="P110" s="127"/>
      <c r="Q110" s="94">
        <v>0.13469</v>
      </c>
      <c r="R110" s="52">
        <v>0</v>
      </c>
      <c r="S110" s="54"/>
      <c r="T110" s="54"/>
      <c r="U110" s="54"/>
      <c r="V110" s="55"/>
      <c r="W110" s="138"/>
      <c r="X110" s="18"/>
      <c r="Y110" s="71"/>
      <c r="Z110" s="55"/>
      <c r="AA110" s="55"/>
      <c r="AB110" s="54"/>
      <c r="AC110" s="57"/>
      <c r="AD110" s="57"/>
      <c r="AE110" s="50"/>
    </row>
    <row r="111" spans="1:31" s="40" customFormat="1" ht="64.2" customHeight="1" x14ac:dyDescent="0.3">
      <c r="A111" s="60">
        <v>43</v>
      </c>
      <c r="B111" s="80" t="s">
        <v>151</v>
      </c>
      <c r="C111" s="80" t="s">
        <v>221</v>
      </c>
      <c r="D111" s="60" t="s">
        <v>222</v>
      </c>
      <c r="E111" s="60">
        <v>0.52637</v>
      </c>
      <c r="F111" s="90" t="s">
        <v>157</v>
      </c>
      <c r="G111" s="90" t="s">
        <v>223</v>
      </c>
      <c r="H111" s="91">
        <v>100</v>
      </c>
      <c r="I111" s="92">
        <v>35531</v>
      </c>
      <c r="J111" s="93" t="s">
        <v>62</v>
      </c>
      <c r="K111" s="81" t="s">
        <v>203</v>
      </c>
      <c r="L111" s="37">
        <v>35531</v>
      </c>
      <c r="M111" s="79"/>
      <c r="N111" s="102"/>
      <c r="O111" s="74"/>
      <c r="P111" s="81"/>
      <c r="Q111" s="74"/>
      <c r="R111" s="63"/>
      <c r="S111" s="36"/>
      <c r="T111" s="36"/>
      <c r="U111" s="36"/>
      <c r="V111" s="37"/>
      <c r="W111" s="139"/>
      <c r="X111" s="64"/>
      <c r="Y111" s="73">
        <f>E111*10000</f>
        <v>5263.7</v>
      </c>
      <c r="Z111" s="37">
        <f>L111</f>
        <v>35531</v>
      </c>
      <c r="AA111" s="37">
        <f t="shared" ref="AA111:AA134" si="26">Z111/Y111</f>
        <v>6.750194729942816</v>
      </c>
      <c r="AB111" s="36">
        <f>SUM(Q114:Q115)*10000</f>
        <v>1044.5</v>
      </c>
      <c r="AC111" s="38">
        <f>SUM(R114:R115)</f>
        <v>550000</v>
      </c>
      <c r="AD111" s="38">
        <f t="shared" ref="AD111:AD133" si="27">AC111/AB111</f>
        <v>526.56773575873626</v>
      </c>
      <c r="AE111" s="39">
        <f t="shared" ref="AE111" si="28">AD111/AA111</f>
        <v>78.00778448997383</v>
      </c>
    </row>
    <row r="112" spans="1:31" s="40" customFormat="1" ht="42" customHeight="1" x14ac:dyDescent="0.3">
      <c r="A112" s="60"/>
      <c r="B112" s="80"/>
      <c r="C112" s="80"/>
      <c r="D112" s="60"/>
      <c r="E112" s="60"/>
      <c r="F112" s="90"/>
      <c r="G112" s="90"/>
      <c r="H112" s="91"/>
      <c r="I112" s="92"/>
      <c r="J112" s="93"/>
      <c r="K112" s="81"/>
      <c r="L112" s="37"/>
      <c r="M112" s="60">
        <v>6.75</v>
      </c>
      <c r="N112" s="37">
        <f>Q112*M112*10000</f>
        <v>4301.1000000000004</v>
      </c>
      <c r="O112" s="80" t="s">
        <v>224</v>
      </c>
      <c r="P112" s="81"/>
      <c r="Q112" s="60">
        <v>6.3719999999999999E-2</v>
      </c>
      <c r="R112" s="63">
        <v>0</v>
      </c>
      <c r="S112" s="36"/>
      <c r="T112" s="36"/>
      <c r="U112" s="36"/>
      <c r="V112" s="37"/>
      <c r="W112" s="139" t="s">
        <v>225</v>
      </c>
      <c r="X112" s="64"/>
      <c r="Y112" s="73"/>
      <c r="Z112" s="37"/>
      <c r="AA112" s="37"/>
      <c r="AB112" s="36"/>
      <c r="AC112" s="38"/>
      <c r="AD112" s="38"/>
      <c r="AE112" s="74"/>
    </row>
    <row r="113" spans="1:31" s="40" customFormat="1" ht="42" customHeight="1" x14ac:dyDescent="0.3">
      <c r="A113" s="60"/>
      <c r="B113" s="80"/>
      <c r="C113" s="80"/>
      <c r="D113" s="60"/>
      <c r="E113" s="60"/>
      <c r="F113" s="90"/>
      <c r="G113" s="90"/>
      <c r="H113" s="91"/>
      <c r="I113" s="92"/>
      <c r="J113" s="93"/>
      <c r="K113" s="81"/>
      <c r="L113" s="37"/>
      <c r="M113" s="60">
        <v>6.75</v>
      </c>
      <c r="N113" s="37">
        <f t="shared" ref="N113:N115" si="29">Q113*M113*10000</f>
        <v>24178.5</v>
      </c>
      <c r="O113" s="80" t="s">
        <v>226</v>
      </c>
      <c r="P113" s="81"/>
      <c r="Q113" s="60">
        <v>0.35820000000000002</v>
      </c>
      <c r="R113" s="63">
        <v>0</v>
      </c>
      <c r="S113" s="36"/>
      <c r="T113" s="36"/>
      <c r="U113" s="36"/>
      <c r="V113" s="37"/>
      <c r="W113" s="139" t="s">
        <v>227</v>
      </c>
      <c r="X113" s="64"/>
      <c r="Y113" s="73"/>
      <c r="Z113" s="37"/>
      <c r="AA113" s="37"/>
      <c r="AB113" s="36"/>
      <c r="AC113" s="38"/>
      <c r="AD113" s="38"/>
      <c r="AE113" s="74"/>
    </row>
    <row r="114" spans="1:31" s="40" customFormat="1" ht="18.600000000000001" customHeight="1" x14ac:dyDescent="0.3">
      <c r="A114" s="60"/>
      <c r="B114" s="80"/>
      <c r="C114" s="80"/>
      <c r="D114" s="60"/>
      <c r="E114" s="60"/>
      <c r="F114" s="90"/>
      <c r="G114" s="90"/>
      <c r="H114" s="91"/>
      <c r="I114" s="92"/>
      <c r="J114" s="93"/>
      <c r="K114" s="81"/>
      <c r="L114" s="37"/>
      <c r="M114" s="60">
        <v>6.75</v>
      </c>
      <c r="N114" s="37">
        <f t="shared" si="29"/>
        <v>4900.5</v>
      </c>
      <c r="O114" s="80" t="s">
        <v>228</v>
      </c>
      <c r="P114" s="81" t="s">
        <v>84</v>
      </c>
      <c r="Q114" s="60">
        <v>7.2599999999999998E-2</v>
      </c>
      <c r="R114" s="63">
        <v>300000</v>
      </c>
      <c r="S114" s="36"/>
      <c r="T114" s="36"/>
      <c r="U114" s="36"/>
      <c r="V114" s="37"/>
      <c r="W114" s="139"/>
      <c r="X114" s="35">
        <f>R114/((Q114/SUM($Q$112:$Q$115))*$L$111)</f>
        <v>61.216477009600041</v>
      </c>
      <c r="Y114" s="73"/>
      <c r="Z114" s="37"/>
      <c r="AA114" s="37"/>
      <c r="AB114" s="36"/>
      <c r="AC114" s="38"/>
      <c r="AD114" s="38"/>
      <c r="AE114" s="74"/>
    </row>
    <row r="115" spans="1:31" s="40" customFormat="1" ht="18.600000000000001" customHeight="1" x14ac:dyDescent="0.3">
      <c r="A115" s="60"/>
      <c r="B115" s="80"/>
      <c r="C115" s="80"/>
      <c r="D115" s="60"/>
      <c r="E115" s="60"/>
      <c r="F115" s="90"/>
      <c r="G115" s="90"/>
      <c r="H115" s="91"/>
      <c r="I115" s="92"/>
      <c r="J115" s="93"/>
      <c r="K115" s="81"/>
      <c r="L115" s="37"/>
      <c r="M115" s="60">
        <v>6.75</v>
      </c>
      <c r="N115" s="37">
        <f t="shared" si="29"/>
        <v>2149.8750000000005</v>
      </c>
      <c r="O115" s="80" t="s">
        <v>229</v>
      </c>
      <c r="P115" s="81" t="s">
        <v>84</v>
      </c>
      <c r="Q115" s="60">
        <v>3.1850000000000003E-2</v>
      </c>
      <c r="R115" s="63">
        <v>250000</v>
      </c>
      <c r="S115" s="36"/>
      <c r="T115" s="36"/>
      <c r="U115" s="36"/>
      <c r="V115" s="37"/>
      <c r="W115" s="141"/>
      <c r="X115" s="35">
        <f>R115/((Q115/SUM($Q$112:$Q$115))*$L$111)</f>
        <v>116.2824759523015</v>
      </c>
      <c r="Y115" s="73"/>
      <c r="Z115" s="37"/>
      <c r="AA115" s="37"/>
      <c r="AB115" s="36"/>
      <c r="AC115" s="38"/>
      <c r="AD115" s="38"/>
      <c r="AE115" s="74"/>
    </row>
    <row r="116" spans="1:31" s="40" customFormat="1" ht="39" customHeight="1" x14ac:dyDescent="0.3">
      <c r="A116" s="94">
        <v>44</v>
      </c>
      <c r="B116" s="53" t="s">
        <v>200</v>
      </c>
      <c r="C116" s="53" t="s">
        <v>230</v>
      </c>
      <c r="D116" s="94">
        <v>0.81274000000000002</v>
      </c>
      <c r="E116" s="94">
        <v>0.81274000000000002</v>
      </c>
      <c r="F116" s="123" t="s">
        <v>157</v>
      </c>
      <c r="G116" s="123" t="s">
        <v>202</v>
      </c>
      <c r="H116" s="124">
        <v>200</v>
      </c>
      <c r="I116" s="125">
        <v>200000</v>
      </c>
      <c r="J116" s="126">
        <v>45571</v>
      </c>
      <c r="K116" s="127" t="s">
        <v>62</v>
      </c>
      <c r="L116" s="55">
        <v>3200000</v>
      </c>
      <c r="M116" s="94">
        <v>24.5</v>
      </c>
      <c r="N116" s="55">
        <f>M116*E116*10000</f>
        <v>199121.30000000002</v>
      </c>
      <c r="O116" s="53"/>
      <c r="P116" s="127" t="s">
        <v>231</v>
      </c>
      <c r="Q116" s="94"/>
      <c r="R116" s="52">
        <v>290000</v>
      </c>
      <c r="S116" s="54"/>
      <c r="T116" s="54"/>
      <c r="U116" s="54"/>
      <c r="V116" s="55"/>
      <c r="W116" s="138"/>
      <c r="X116" s="18">
        <f>R116/L116</f>
        <v>9.0624999999999997E-2</v>
      </c>
      <c r="Y116" s="71">
        <f>E116*10000</f>
        <v>8127.4000000000005</v>
      </c>
      <c r="Z116" s="55">
        <f>L116</f>
        <v>3200000</v>
      </c>
      <c r="AA116" s="55">
        <f t="shared" si="26"/>
        <v>393.72985210522427</v>
      </c>
      <c r="AB116" s="54">
        <f t="shared" ref="AB116:AB133" si="30">Y116</f>
        <v>8127.4000000000005</v>
      </c>
      <c r="AC116" s="57">
        <f>R116</f>
        <v>290000</v>
      </c>
      <c r="AD116" s="57">
        <f t="shared" si="27"/>
        <v>35.68176784703595</v>
      </c>
      <c r="AE116" s="58">
        <f t="shared" ref="AE116:AE118" si="31">AD116/AA116</f>
        <v>9.0624999999999997E-2</v>
      </c>
    </row>
    <row r="117" spans="1:31" s="40" customFormat="1" ht="39" customHeight="1" x14ac:dyDescent="0.3">
      <c r="A117" s="60">
        <v>45</v>
      </c>
      <c r="B117" s="80" t="s">
        <v>232</v>
      </c>
      <c r="C117" s="80" t="s">
        <v>233</v>
      </c>
      <c r="D117" s="60">
        <v>1.3297300000000001</v>
      </c>
      <c r="E117" s="60">
        <v>1.3297300000000001</v>
      </c>
      <c r="F117" s="90" t="s">
        <v>157</v>
      </c>
      <c r="G117" s="90" t="s">
        <v>202</v>
      </c>
      <c r="H117" s="91">
        <v>200</v>
      </c>
      <c r="I117" s="92">
        <v>485352</v>
      </c>
      <c r="J117" s="93" t="s">
        <v>62</v>
      </c>
      <c r="K117" s="81" t="s">
        <v>203</v>
      </c>
      <c r="L117" s="37">
        <v>970704</v>
      </c>
      <c r="M117" s="79">
        <v>36.5</v>
      </c>
      <c r="N117" s="102">
        <f>M117*E117*10000</f>
        <v>485351.45</v>
      </c>
      <c r="O117" s="74"/>
      <c r="P117" s="81" t="s">
        <v>234</v>
      </c>
      <c r="Q117" s="74"/>
      <c r="R117" s="63">
        <v>4000000</v>
      </c>
      <c r="S117" s="36"/>
      <c r="T117" s="36"/>
      <c r="U117" s="36"/>
      <c r="V117" s="37"/>
      <c r="W117" s="139"/>
      <c r="X117" s="35">
        <f>R117/L117</f>
        <v>4.1207206316240583</v>
      </c>
      <c r="Y117" s="73">
        <f>E117*10000</f>
        <v>13297.300000000001</v>
      </c>
      <c r="Z117" s="37">
        <f>L117</f>
        <v>970704</v>
      </c>
      <c r="AA117" s="37">
        <f t="shared" si="26"/>
        <v>73.000082723560411</v>
      </c>
      <c r="AB117" s="36">
        <f t="shared" si="30"/>
        <v>13297.300000000001</v>
      </c>
      <c r="AC117" s="38">
        <f>R117</f>
        <v>4000000</v>
      </c>
      <c r="AD117" s="38">
        <f t="shared" si="27"/>
        <v>300.81294698923841</v>
      </c>
      <c r="AE117" s="39">
        <f t="shared" si="31"/>
        <v>4.1207206316240592</v>
      </c>
    </row>
    <row r="118" spans="1:31" s="40" customFormat="1" ht="49.2" customHeight="1" x14ac:dyDescent="0.3">
      <c r="A118" s="94">
        <v>46</v>
      </c>
      <c r="B118" s="53" t="s">
        <v>154</v>
      </c>
      <c r="C118" s="53" t="s">
        <v>235</v>
      </c>
      <c r="D118" s="94" t="s">
        <v>236</v>
      </c>
      <c r="E118" s="94">
        <v>0.53927999999999998</v>
      </c>
      <c r="F118" s="123" t="s">
        <v>157</v>
      </c>
      <c r="G118" s="123" t="s">
        <v>237</v>
      </c>
      <c r="H118" s="124">
        <v>200</v>
      </c>
      <c r="I118" s="125">
        <v>62653</v>
      </c>
      <c r="J118" s="126">
        <v>45571</v>
      </c>
      <c r="K118" s="127" t="s">
        <v>62</v>
      </c>
      <c r="L118" s="55">
        <v>125306</v>
      </c>
      <c r="M118" s="94"/>
      <c r="N118" s="55"/>
      <c r="O118" s="53"/>
      <c r="P118" s="127"/>
      <c r="Q118" s="94"/>
      <c r="R118" s="52"/>
      <c r="S118" s="54"/>
      <c r="T118" s="54"/>
      <c r="U118" s="54"/>
      <c r="V118" s="55"/>
      <c r="W118" s="138"/>
      <c r="X118" s="78"/>
      <c r="Y118" s="71">
        <f>E118*10000</f>
        <v>5392.8</v>
      </c>
      <c r="Z118" s="55">
        <f>L118</f>
        <v>125306</v>
      </c>
      <c r="AA118" s="55">
        <f t="shared" si="26"/>
        <v>23.235795875982792</v>
      </c>
      <c r="AB118" s="54">
        <f>SUM(Q119:Q120)*10000</f>
        <v>392.8</v>
      </c>
      <c r="AC118" s="57">
        <f>SUM(R119:R120)</f>
        <v>600000</v>
      </c>
      <c r="AD118" s="57">
        <f t="shared" si="27"/>
        <v>1527.4949083503054</v>
      </c>
      <c r="AE118" s="58">
        <f t="shared" si="31"/>
        <v>65.738867586161291</v>
      </c>
    </row>
    <row r="119" spans="1:31" s="40" customFormat="1" ht="18.600000000000001" customHeight="1" x14ac:dyDescent="0.3">
      <c r="A119" s="94"/>
      <c r="B119" s="53"/>
      <c r="C119" s="53"/>
      <c r="D119" s="94"/>
      <c r="E119" s="94"/>
      <c r="F119" s="123"/>
      <c r="G119" s="123"/>
      <c r="H119" s="124"/>
      <c r="I119" s="125"/>
      <c r="J119" s="126"/>
      <c r="K119" s="127"/>
      <c r="L119" s="55"/>
      <c r="M119" s="94">
        <v>6.75</v>
      </c>
      <c r="N119" s="55">
        <f>M119*Q119*10000</f>
        <v>1491.75</v>
      </c>
      <c r="O119" s="53" t="s">
        <v>238</v>
      </c>
      <c r="P119" s="127" t="s">
        <v>239</v>
      </c>
      <c r="Q119" s="94">
        <v>2.2100000000000002E-2</v>
      </c>
      <c r="R119" s="52">
        <v>300000</v>
      </c>
      <c r="S119" s="54"/>
      <c r="T119" s="54"/>
      <c r="U119" s="54"/>
      <c r="V119" s="55"/>
      <c r="W119" s="138"/>
      <c r="X119" s="18">
        <f>R119/((Q119/SUM($Q$119:$Q$121))*$L$118)</f>
        <v>58.421328479285414</v>
      </c>
      <c r="Y119" s="71"/>
      <c r="Z119" s="55"/>
      <c r="AA119" s="55"/>
      <c r="AB119" s="54"/>
      <c r="AC119" s="57"/>
      <c r="AD119" s="57"/>
      <c r="AE119" s="50"/>
    </row>
    <row r="120" spans="1:31" s="40" customFormat="1" ht="18.600000000000001" customHeight="1" x14ac:dyDescent="0.3">
      <c r="A120" s="94"/>
      <c r="B120" s="53"/>
      <c r="C120" s="53"/>
      <c r="D120" s="94"/>
      <c r="E120" s="94"/>
      <c r="F120" s="123"/>
      <c r="G120" s="123"/>
      <c r="H120" s="124"/>
      <c r="I120" s="125"/>
      <c r="J120" s="126"/>
      <c r="K120" s="127"/>
      <c r="L120" s="55"/>
      <c r="M120" s="94">
        <v>159.5</v>
      </c>
      <c r="N120" s="55">
        <f t="shared" ref="N120:N121" si="32">M120*Q120*10000</f>
        <v>27402.100000000002</v>
      </c>
      <c r="O120" s="53" t="s">
        <v>240</v>
      </c>
      <c r="P120" s="127" t="s">
        <v>239</v>
      </c>
      <c r="Q120" s="94">
        <v>1.7180000000000001E-2</v>
      </c>
      <c r="R120" s="52">
        <v>300000</v>
      </c>
      <c r="S120" s="54"/>
      <c r="T120" s="54"/>
      <c r="U120" s="54"/>
      <c r="V120" s="55"/>
      <c r="W120" s="142"/>
      <c r="X120" s="18">
        <f>R120/((Q120/SUM($Q$119:$Q$121))*$L$118)</f>
        <v>75.151999964622107</v>
      </c>
      <c r="Y120" s="71"/>
      <c r="Z120" s="55"/>
      <c r="AA120" s="55"/>
      <c r="AB120" s="54"/>
      <c r="AC120" s="57"/>
      <c r="AD120" s="57"/>
      <c r="AE120" s="50"/>
    </row>
    <row r="121" spans="1:31" s="40" customFormat="1" ht="18.600000000000001" customHeight="1" x14ac:dyDescent="0.3">
      <c r="A121" s="94"/>
      <c r="B121" s="53"/>
      <c r="C121" s="53"/>
      <c r="D121" s="94"/>
      <c r="E121" s="94"/>
      <c r="F121" s="123"/>
      <c r="G121" s="123"/>
      <c r="H121" s="124"/>
      <c r="I121" s="125"/>
      <c r="J121" s="126"/>
      <c r="K121" s="127"/>
      <c r="L121" s="55"/>
      <c r="M121" s="94">
        <v>6.75</v>
      </c>
      <c r="N121" s="55">
        <f t="shared" si="32"/>
        <v>33750</v>
      </c>
      <c r="O121" s="53" t="s">
        <v>241</v>
      </c>
      <c r="P121" s="127"/>
      <c r="Q121" s="94">
        <v>0.5</v>
      </c>
      <c r="R121" s="52">
        <v>0</v>
      </c>
      <c r="S121" s="54"/>
      <c r="T121" s="54"/>
      <c r="U121" s="54"/>
      <c r="V121" s="55"/>
      <c r="W121" s="138"/>
      <c r="X121" s="78"/>
      <c r="Y121" s="71"/>
      <c r="Z121" s="55"/>
      <c r="AA121" s="55"/>
      <c r="AB121" s="54"/>
      <c r="AC121" s="57"/>
      <c r="AD121" s="57"/>
      <c r="AE121" s="50"/>
    </row>
    <row r="122" spans="1:31" s="40" customFormat="1" ht="39" customHeight="1" x14ac:dyDescent="0.3">
      <c r="A122" s="60">
        <v>47</v>
      </c>
      <c r="B122" s="80" t="s">
        <v>200</v>
      </c>
      <c r="C122" s="80" t="s">
        <v>242</v>
      </c>
      <c r="D122" s="60" t="s">
        <v>243</v>
      </c>
      <c r="E122" s="60">
        <v>0.74287999999999998</v>
      </c>
      <c r="F122" s="90" t="s">
        <v>157</v>
      </c>
      <c r="G122" s="90" t="s">
        <v>244</v>
      </c>
      <c r="H122" s="91" t="s">
        <v>245</v>
      </c>
      <c r="I122" s="92">
        <v>174410</v>
      </c>
      <c r="J122" s="93">
        <v>45571</v>
      </c>
      <c r="K122" s="81" t="s">
        <v>80</v>
      </c>
      <c r="L122" s="37">
        <v>174410</v>
      </c>
      <c r="M122" s="79"/>
      <c r="N122" s="102"/>
      <c r="O122" s="74"/>
      <c r="P122" s="81"/>
      <c r="Q122" s="74"/>
      <c r="R122" s="63"/>
      <c r="S122" s="36"/>
      <c r="T122" s="36"/>
      <c r="U122" s="36"/>
      <c r="V122" s="37"/>
      <c r="W122" s="139"/>
      <c r="X122" s="64"/>
      <c r="Y122" s="73">
        <f>E122*10000</f>
        <v>7428.8</v>
      </c>
      <c r="Z122" s="37">
        <f>L122</f>
        <v>174410</v>
      </c>
      <c r="AA122" s="37">
        <f t="shared" si="26"/>
        <v>23.477546844712471</v>
      </c>
      <c r="AB122" s="36">
        <f>Q123*10000</f>
        <v>7000.8</v>
      </c>
      <c r="AC122" s="36">
        <f>R123</f>
        <v>450000</v>
      </c>
      <c r="AD122" s="38">
        <f t="shared" si="27"/>
        <v>64.278368186492969</v>
      </c>
      <c r="AE122" s="39">
        <f t="shared" ref="AE122:AE178" si="33">AD122/AA122</f>
        <v>2.7378656131174757</v>
      </c>
    </row>
    <row r="123" spans="1:31" s="40" customFormat="1" ht="16.95" customHeight="1" x14ac:dyDescent="0.3">
      <c r="A123" s="60"/>
      <c r="B123" s="80"/>
      <c r="C123" s="80"/>
      <c r="D123" s="60"/>
      <c r="E123" s="60"/>
      <c r="F123" s="90"/>
      <c r="G123" s="90"/>
      <c r="H123" s="91"/>
      <c r="I123" s="92"/>
      <c r="J123" s="93"/>
      <c r="K123" s="81"/>
      <c r="L123" s="37"/>
      <c r="M123" s="79">
        <v>24.5</v>
      </c>
      <c r="N123" s="102">
        <f>M123*Q123*10000</f>
        <v>171519.60000000003</v>
      </c>
      <c r="O123" s="74" t="s">
        <v>246</v>
      </c>
      <c r="P123" s="81" t="s">
        <v>247</v>
      </c>
      <c r="Q123" s="74">
        <v>0.70008000000000004</v>
      </c>
      <c r="R123" s="63">
        <v>450000</v>
      </c>
      <c r="S123" s="36"/>
      <c r="T123" s="36"/>
      <c r="U123" s="36"/>
      <c r="V123" s="37"/>
      <c r="W123" s="139"/>
      <c r="X123" s="35">
        <f>R123/((Q123/SUM(Q123:Q124))*L122)</f>
        <v>2.7378656131174761</v>
      </c>
      <c r="Y123" s="73"/>
      <c r="Z123" s="37"/>
      <c r="AA123" s="37"/>
      <c r="AB123" s="36"/>
      <c r="AC123" s="38"/>
      <c r="AD123" s="38"/>
      <c r="AE123" s="39"/>
    </row>
    <row r="124" spans="1:31" s="40" customFormat="1" ht="16.95" customHeight="1" x14ac:dyDescent="0.3">
      <c r="A124" s="60"/>
      <c r="B124" s="80"/>
      <c r="C124" s="80"/>
      <c r="D124" s="60"/>
      <c r="E124" s="60"/>
      <c r="F124" s="90"/>
      <c r="G124" s="90"/>
      <c r="H124" s="91"/>
      <c r="I124" s="92"/>
      <c r="J124" s="93"/>
      <c r="K124" s="81"/>
      <c r="L124" s="37"/>
      <c r="M124" s="79">
        <v>6.75</v>
      </c>
      <c r="N124" s="102">
        <f>M124*Q124*10000</f>
        <v>2889</v>
      </c>
      <c r="O124" s="74" t="s">
        <v>248</v>
      </c>
      <c r="P124" s="81"/>
      <c r="Q124" s="74">
        <v>4.2799999999999998E-2</v>
      </c>
      <c r="R124" s="63">
        <v>0</v>
      </c>
      <c r="S124" s="36"/>
      <c r="T124" s="36"/>
      <c r="U124" s="36"/>
      <c r="V124" s="37"/>
      <c r="W124" s="139"/>
      <c r="X124" s="64"/>
      <c r="Y124" s="73"/>
      <c r="Z124" s="37"/>
      <c r="AA124" s="37"/>
      <c r="AB124" s="36"/>
      <c r="AC124" s="38"/>
      <c r="AD124" s="38"/>
      <c r="AE124" s="39"/>
    </row>
    <row r="125" spans="1:31" s="40" customFormat="1" ht="39" customHeight="1" x14ac:dyDescent="0.3">
      <c r="A125" s="94">
        <v>48</v>
      </c>
      <c r="B125" s="53" t="s">
        <v>249</v>
      </c>
      <c r="C125" s="53" t="s">
        <v>250</v>
      </c>
      <c r="D125" s="94" t="s">
        <v>251</v>
      </c>
      <c r="E125" s="94">
        <v>0.39721000000000001</v>
      </c>
      <c r="F125" s="123" t="s">
        <v>157</v>
      </c>
      <c r="G125" s="123" t="s">
        <v>252</v>
      </c>
      <c r="H125" s="124">
        <v>200</v>
      </c>
      <c r="I125" s="125">
        <v>27150</v>
      </c>
      <c r="J125" s="126" t="s">
        <v>83</v>
      </c>
      <c r="K125" s="127" t="s">
        <v>84</v>
      </c>
      <c r="L125" s="55">
        <v>54300</v>
      </c>
      <c r="M125" s="94"/>
      <c r="N125" s="55"/>
      <c r="O125" s="53"/>
      <c r="P125" s="127"/>
      <c r="Q125" s="94"/>
      <c r="R125" s="52"/>
      <c r="S125" s="54"/>
      <c r="T125" s="54"/>
      <c r="U125" s="54"/>
      <c r="V125" s="55"/>
      <c r="W125" s="138"/>
      <c r="X125" s="78"/>
      <c r="Y125" s="71">
        <f>E125*10000</f>
        <v>3972.1</v>
      </c>
      <c r="Z125" s="55">
        <f>L125</f>
        <v>54300</v>
      </c>
      <c r="AA125" s="55">
        <f t="shared" si="26"/>
        <v>13.670350696105334</v>
      </c>
      <c r="AB125" s="54">
        <f>Q126*10000</f>
        <v>170.1</v>
      </c>
      <c r="AC125" s="57">
        <f>R126</f>
        <v>300000</v>
      </c>
      <c r="AD125" s="57">
        <f t="shared" si="27"/>
        <v>1763.6684303350971</v>
      </c>
      <c r="AE125" s="58">
        <f t="shared" si="33"/>
        <v>129.01413208349982</v>
      </c>
    </row>
    <row r="126" spans="1:31" s="40" customFormat="1" ht="15.6" customHeight="1" x14ac:dyDescent="0.3">
      <c r="A126" s="94"/>
      <c r="B126" s="53"/>
      <c r="C126" s="53"/>
      <c r="D126" s="94"/>
      <c r="E126" s="94"/>
      <c r="F126" s="123"/>
      <c r="G126" s="123"/>
      <c r="H126" s="124"/>
      <c r="I126" s="125"/>
      <c r="J126" s="126"/>
      <c r="K126" s="127"/>
      <c r="L126" s="55"/>
      <c r="M126" s="94">
        <v>6.75</v>
      </c>
      <c r="N126" s="55">
        <f>M126*Q126*10000</f>
        <v>1148.175</v>
      </c>
      <c r="O126" s="53" t="s">
        <v>253</v>
      </c>
      <c r="P126" s="127">
        <v>45516</v>
      </c>
      <c r="Q126" s="94">
        <v>1.7010000000000001E-2</v>
      </c>
      <c r="R126" s="52">
        <v>300000</v>
      </c>
      <c r="S126" s="54"/>
      <c r="T126" s="54"/>
      <c r="U126" s="54"/>
      <c r="V126" s="55"/>
      <c r="W126" s="138"/>
      <c r="X126" s="18">
        <f>R126/((Q126/SUM(Q126:Q127))*L125)</f>
        <v>129.01413208349976</v>
      </c>
      <c r="Y126" s="71"/>
      <c r="Z126" s="55"/>
      <c r="AA126" s="55"/>
      <c r="AB126" s="54"/>
      <c r="AC126" s="57"/>
      <c r="AD126" s="57"/>
      <c r="AE126" s="58"/>
    </row>
    <row r="127" spans="1:31" s="40" customFormat="1" ht="15.6" customHeight="1" x14ac:dyDescent="0.3">
      <c r="A127" s="94"/>
      <c r="B127" s="53"/>
      <c r="C127" s="53"/>
      <c r="D127" s="94"/>
      <c r="E127" s="94"/>
      <c r="F127" s="123"/>
      <c r="G127" s="123"/>
      <c r="H127" s="124"/>
      <c r="I127" s="125"/>
      <c r="J127" s="126"/>
      <c r="K127" s="127"/>
      <c r="L127" s="55"/>
      <c r="M127" s="94">
        <v>6.75</v>
      </c>
      <c r="N127" s="55">
        <f>M127*Q127*10000</f>
        <v>25663.5</v>
      </c>
      <c r="O127" s="53" t="s">
        <v>254</v>
      </c>
      <c r="P127" s="127"/>
      <c r="Q127" s="94">
        <v>0.38019999999999998</v>
      </c>
      <c r="R127" s="52">
        <v>0</v>
      </c>
      <c r="S127" s="54"/>
      <c r="T127" s="54"/>
      <c r="U127" s="54"/>
      <c r="V127" s="55"/>
      <c r="W127" s="138"/>
      <c r="X127" s="78"/>
      <c r="Y127" s="71"/>
      <c r="Z127" s="55"/>
      <c r="AA127" s="55"/>
      <c r="AB127" s="54"/>
      <c r="AC127" s="57"/>
      <c r="AD127" s="57"/>
      <c r="AE127" s="58"/>
    </row>
    <row r="128" spans="1:31" s="40" customFormat="1" ht="52.95" customHeight="1" x14ac:dyDescent="0.3">
      <c r="A128" s="60">
        <v>49</v>
      </c>
      <c r="B128" s="80" t="s">
        <v>249</v>
      </c>
      <c r="C128" s="80" t="s">
        <v>255</v>
      </c>
      <c r="D128" s="60" t="s">
        <v>256</v>
      </c>
      <c r="E128" s="60">
        <v>0.4667</v>
      </c>
      <c r="F128" s="90" t="s">
        <v>157</v>
      </c>
      <c r="G128" s="90" t="s">
        <v>257</v>
      </c>
      <c r="H128" s="91">
        <v>200</v>
      </c>
      <c r="I128" s="92">
        <v>15375</v>
      </c>
      <c r="J128" s="93" t="s">
        <v>83</v>
      </c>
      <c r="K128" s="81" t="s">
        <v>84</v>
      </c>
      <c r="L128" s="37">
        <v>300750</v>
      </c>
      <c r="M128" s="79"/>
      <c r="N128" s="102"/>
      <c r="O128" s="74"/>
      <c r="P128" s="81"/>
      <c r="Q128" s="74"/>
      <c r="R128" s="63"/>
      <c r="S128" s="36"/>
      <c r="T128" s="36"/>
      <c r="U128" s="36"/>
      <c r="V128" s="37"/>
      <c r="W128" s="139"/>
      <c r="X128" s="64"/>
      <c r="Y128" s="73">
        <f>E128*10000</f>
        <v>4667</v>
      </c>
      <c r="Z128" s="37">
        <f>L128</f>
        <v>300750</v>
      </c>
      <c r="AA128" s="37">
        <f t="shared" si="26"/>
        <v>64.441825583886867</v>
      </c>
      <c r="AB128" s="73">
        <f>SUM(Q129,Q132)*10000</f>
        <v>3336</v>
      </c>
      <c r="AC128" s="38">
        <f>SUM(R129,R132)</f>
        <v>880000</v>
      </c>
      <c r="AD128" s="38">
        <f t="shared" si="27"/>
        <v>263.78896882494007</v>
      </c>
      <c r="AE128" s="39">
        <f t="shared" si="33"/>
        <v>4.0934434497289951</v>
      </c>
    </row>
    <row r="129" spans="1:31" s="40" customFormat="1" ht="18" customHeight="1" x14ac:dyDescent="0.3">
      <c r="A129" s="60"/>
      <c r="B129" s="80"/>
      <c r="C129" s="80"/>
      <c r="D129" s="60"/>
      <c r="E129" s="60"/>
      <c r="F129" s="90"/>
      <c r="G129" s="90"/>
      <c r="H129" s="91"/>
      <c r="I129" s="92"/>
      <c r="J129" s="93"/>
      <c r="K129" s="81"/>
      <c r="L129" s="37"/>
      <c r="M129" s="79">
        <v>6.75</v>
      </c>
      <c r="N129" s="102">
        <f>M129*Q129*10000</f>
        <v>14897.25</v>
      </c>
      <c r="O129" s="74" t="s">
        <v>258</v>
      </c>
      <c r="P129" s="81">
        <v>45643</v>
      </c>
      <c r="Q129" s="74">
        <v>0.22070000000000001</v>
      </c>
      <c r="R129" s="63">
        <v>480000</v>
      </c>
      <c r="S129" s="36"/>
      <c r="T129" s="36"/>
      <c r="U129" s="36"/>
      <c r="V129" s="37"/>
      <c r="W129" s="139"/>
      <c r="X129" s="35">
        <f>R129/((Q129/SUM($Q$129:$Q$132))*$L$128)</f>
        <v>3.3749789549687175</v>
      </c>
      <c r="Y129" s="73"/>
      <c r="Z129" s="37"/>
      <c r="AA129" s="37"/>
      <c r="AB129" s="36"/>
      <c r="AC129" s="38"/>
      <c r="AD129" s="38"/>
      <c r="AE129" s="39"/>
    </row>
    <row r="130" spans="1:31" s="40" customFormat="1" ht="18" customHeight="1" x14ac:dyDescent="0.3">
      <c r="A130" s="60"/>
      <c r="B130" s="80"/>
      <c r="C130" s="80"/>
      <c r="D130" s="60"/>
      <c r="E130" s="60"/>
      <c r="F130" s="90"/>
      <c r="G130" s="90"/>
      <c r="H130" s="91"/>
      <c r="I130" s="92"/>
      <c r="J130" s="93"/>
      <c r="K130" s="81"/>
      <c r="L130" s="37"/>
      <c r="M130" s="79">
        <v>6.75</v>
      </c>
      <c r="N130" s="102">
        <f t="shared" ref="N130:N132" si="34">M130*Q130*10000</f>
        <v>8235</v>
      </c>
      <c r="O130" s="74" t="s">
        <v>259</v>
      </c>
      <c r="P130" s="81"/>
      <c r="Q130" s="74">
        <v>0.122</v>
      </c>
      <c r="R130" s="63">
        <v>0</v>
      </c>
      <c r="S130" s="36"/>
      <c r="T130" s="36"/>
      <c r="U130" s="36"/>
      <c r="V130" s="37"/>
      <c r="W130" s="139"/>
      <c r="X130" s="35"/>
      <c r="Y130" s="73"/>
      <c r="Z130" s="37"/>
      <c r="AA130" s="37"/>
      <c r="AB130" s="36"/>
      <c r="AC130" s="38"/>
      <c r="AD130" s="38"/>
      <c r="AE130" s="39"/>
    </row>
    <row r="131" spans="1:31" s="40" customFormat="1" ht="18" customHeight="1" x14ac:dyDescent="0.3">
      <c r="A131" s="60"/>
      <c r="B131" s="80"/>
      <c r="C131" s="80"/>
      <c r="D131" s="60"/>
      <c r="E131" s="60"/>
      <c r="F131" s="90"/>
      <c r="G131" s="90"/>
      <c r="H131" s="91"/>
      <c r="I131" s="92"/>
      <c r="J131" s="93"/>
      <c r="K131" s="81"/>
      <c r="L131" s="37"/>
      <c r="M131" s="79">
        <v>6.75</v>
      </c>
      <c r="N131" s="102">
        <f t="shared" si="34"/>
        <v>749.25</v>
      </c>
      <c r="O131" s="74" t="s">
        <v>260</v>
      </c>
      <c r="P131" s="81"/>
      <c r="Q131" s="74">
        <v>1.11E-2</v>
      </c>
      <c r="R131" s="63">
        <v>0</v>
      </c>
      <c r="S131" s="36"/>
      <c r="T131" s="36"/>
      <c r="U131" s="36"/>
      <c r="V131" s="37"/>
      <c r="W131" s="139"/>
      <c r="X131" s="35"/>
      <c r="Y131" s="73"/>
      <c r="Z131" s="37"/>
      <c r="AA131" s="37"/>
      <c r="AB131" s="36"/>
      <c r="AC131" s="38"/>
      <c r="AD131" s="38"/>
      <c r="AE131" s="39"/>
    </row>
    <row r="132" spans="1:31" s="40" customFormat="1" ht="18" customHeight="1" x14ac:dyDescent="0.3">
      <c r="A132" s="60"/>
      <c r="B132" s="80"/>
      <c r="C132" s="80"/>
      <c r="D132" s="60"/>
      <c r="E132" s="60"/>
      <c r="F132" s="90"/>
      <c r="G132" s="90"/>
      <c r="H132" s="91"/>
      <c r="I132" s="92"/>
      <c r="J132" s="93"/>
      <c r="K132" s="81"/>
      <c r="L132" s="37"/>
      <c r="M132" s="79">
        <v>118.5</v>
      </c>
      <c r="N132" s="102">
        <f t="shared" si="34"/>
        <v>133786.5</v>
      </c>
      <c r="O132" s="74" t="s">
        <v>261</v>
      </c>
      <c r="P132" s="81">
        <v>45643</v>
      </c>
      <c r="Q132" s="74">
        <v>0.1129</v>
      </c>
      <c r="R132" s="63">
        <v>400000</v>
      </c>
      <c r="S132" s="36"/>
      <c r="T132" s="36"/>
      <c r="U132" s="36"/>
      <c r="V132" s="37"/>
      <c r="W132" s="139"/>
      <c r="X132" s="35">
        <f>R132/((Q132/SUM($Q$129:$Q$132))*$L$128)</f>
        <v>5.4979174443578085</v>
      </c>
      <c r="Y132" s="73"/>
      <c r="Z132" s="37"/>
      <c r="AA132" s="37"/>
      <c r="AB132" s="36"/>
      <c r="AC132" s="38"/>
      <c r="AD132" s="38"/>
      <c r="AE132" s="39"/>
    </row>
    <row r="133" spans="1:31" s="40" customFormat="1" ht="39" customHeight="1" x14ac:dyDescent="0.3">
      <c r="A133" s="94">
        <v>50</v>
      </c>
      <c r="B133" s="53" t="s">
        <v>40</v>
      </c>
      <c r="C133" s="53" t="s">
        <v>262</v>
      </c>
      <c r="D133" s="94">
        <v>0.22273999999999999</v>
      </c>
      <c r="E133" s="94">
        <v>0.22273999999999999</v>
      </c>
      <c r="F133" s="123" t="s">
        <v>157</v>
      </c>
      <c r="G133" s="123" t="s">
        <v>202</v>
      </c>
      <c r="H133" s="124">
        <v>200</v>
      </c>
      <c r="I133" s="125">
        <v>81300</v>
      </c>
      <c r="J133" s="126" t="s">
        <v>83</v>
      </c>
      <c r="K133" s="127" t="s">
        <v>263</v>
      </c>
      <c r="L133" s="55">
        <v>170800</v>
      </c>
      <c r="M133" s="94">
        <v>36.5</v>
      </c>
      <c r="N133" s="55">
        <f>M133*E133*10000</f>
        <v>81300.100000000006</v>
      </c>
      <c r="O133" s="53"/>
      <c r="P133" s="127">
        <v>45615</v>
      </c>
      <c r="Q133" s="94"/>
      <c r="R133" s="52">
        <v>2360000</v>
      </c>
      <c r="S133" s="54"/>
      <c r="T133" s="54"/>
      <c r="U133" s="54"/>
      <c r="V133" s="55"/>
      <c r="W133" s="138"/>
      <c r="X133" s="18">
        <f>R133/L133</f>
        <v>13.817330210772834</v>
      </c>
      <c r="Y133" s="71">
        <f>E133*10000</f>
        <v>2227.4</v>
      </c>
      <c r="Z133" s="55">
        <f>L133</f>
        <v>170800</v>
      </c>
      <c r="AA133" s="55">
        <f t="shared" si="26"/>
        <v>76.681332495285986</v>
      </c>
      <c r="AB133" s="54">
        <f t="shared" si="30"/>
        <v>2227.4</v>
      </c>
      <c r="AC133" s="57">
        <f>R133</f>
        <v>2360000</v>
      </c>
      <c r="AD133" s="57">
        <f t="shared" si="27"/>
        <v>1059.5312920894316</v>
      </c>
      <c r="AE133" s="58">
        <f t="shared" si="33"/>
        <v>13.817330210772834</v>
      </c>
    </row>
    <row r="134" spans="1:31" s="40" customFormat="1" ht="30.6" customHeight="1" x14ac:dyDescent="0.3">
      <c r="A134" s="60">
        <v>51</v>
      </c>
      <c r="B134" s="80" t="s">
        <v>264</v>
      </c>
      <c r="C134" s="80" t="s">
        <v>265</v>
      </c>
      <c r="D134" s="60">
        <v>1.8057300000000001</v>
      </c>
      <c r="E134" s="60">
        <v>1.8057300000000001</v>
      </c>
      <c r="F134" s="90" t="s">
        <v>157</v>
      </c>
      <c r="G134" s="90" t="s">
        <v>202</v>
      </c>
      <c r="H134" s="91">
        <v>200</v>
      </c>
      <c r="I134" s="92">
        <v>1102181</v>
      </c>
      <c r="J134" s="93" t="s">
        <v>93</v>
      </c>
      <c r="K134" s="81">
        <v>45421</v>
      </c>
      <c r="L134" s="37">
        <v>2004362</v>
      </c>
      <c r="M134" s="79">
        <v>55.5</v>
      </c>
      <c r="N134" s="102">
        <f>M134*E134*10000</f>
        <v>1002180.1500000001</v>
      </c>
      <c r="O134" s="74"/>
      <c r="P134" s="128"/>
      <c r="Q134" s="128"/>
      <c r="R134" s="128"/>
      <c r="S134" s="36"/>
      <c r="T134" s="128"/>
      <c r="U134" s="36"/>
      <c r="V134" s="37"/>
      <c r="W134" s="139"/>
      <c r="X134" s="64" t="s">
        <v>193</v>
      </c>
      <c r="Y134" s="73">
        <f>E134*10000</f>
        <v>18057.3</v>
      </c>
      <c r="Z134" s="37">
        <f>L134</f>
        <v>2004362</v>
      </c>
      <c r="AA134" s="37">
        <f t="shared" si="26"/>
        <v>111.00009414475032</v>
      </c>
      <c r="AB134" s="36"/>
      <c r="AC134" s="38"/>
      <c r="AD134" s="38"/>
      <c r="AE134" s="39"/>
    </row>
    <row r="135" spans="1:31" s="40" customFormat="1" ht="19.95" customHeight="1" x14ac:dyDescent="0.3">
      <c r="A135" s="60"/>
      <c r="B135" s="80"/>
      <c r="C135" s="80"/>
      <c r="D135" s="60"/>
      <c r="E135" s="60"/>
      <c r="F135" s="90"/>
      <c r="G135" s="90"/>
      <c r="H135" s="91"/>
      <c r="I135" s="92"/>
      <c r="J135" s="93"/>
      <c r="K135" s="81"/>
      <c r="L135" s="37"/>
      <c r="M135" s="79">
        <v>55.5</v>
      </c>
      <c r="N135" s="102"/>
      <c r="O135" s="80" t="s">
        <v>265</v>
      </c>
      <c r="P135" s="171">
        <v>45636</v>
      </c>
      <c r="Q135" s="60">
        <v>1.8057300000000001</v>
      </c>
      <c r="R135" s="163">
        <v>252000000</v>
      </c>
      <c r="S135" s="80" t="s">
        <v>265</v>
      </c>
      <c r="T135" s="171" t="s">
        <v>266</v>
      </c>
      <c r="U135" s="60">
        <v>1.8057300000000001</v>
      </c>
      <c r="V135" s="173"/>
      <c r="W135" s="165" t="s">
        <v>357</v>
      </c>
      <c r="X135" s="36"/>
      <c r="Y135" s="73"/>
      <c r="Z135" s="37"/>
      <c r="AA135" s="37"/>
      <c r="AB135" s="36"/>
      <c r="AC135" s="38"/>
      <c r="AD135" s="38"/>
      <c r="AE135" s="39"/>
    </row>
    <row r="136" spans="1:31" s="40" customFormat="1" ht="19.95" customHeight="1" x14ac:dyDescent="0.3">
      <c r="A136" s="60"/>
      <c r="B136" s="80"/>
      <c r="C136" s="80"/>
      <c r="D136" s="60"/>
      <c r="E136" s="60"/>
      <c r="F136" s="90"/>
      <c r="G136" s="90"/>
      <c r="H136" s="91"/>
      <c r="I136" s="92"/>
      <c r="J136" s="93"/>
      <c r="K136" s="81"/>
      <c r="L136" s="37"/>
      <c r="M136" s="79"/>
      <c r="N136" s="102"/>
      <c r="O136" s="74" t="s">
        <v>267</v>
      </c>
      <c r="P136" s="172"/>
      <c r="Q136" s="74">
        <v>49.997390000000003</v>
      </c>
      <c r="R136" s="164"/>
      <c r="S136" s="74" t="s">
        <v>267</v>
      </c>
      <c r="T136" s="172"/>
      <c r="U136" s="74">
        <v>49.997390000000003</v>
      </c>
      <c r="V136" s="174"/>
      <c r="W136" s="165"/>
      <c r="X136" s="36"/>
      <c r="Y136" s="73"/>
      <c r="Z136" s="37"/>
      <c r="AA136" s="37"/>
      <c r="AB136" s="36"/>
      <c r="AC136" s="38"/>
      <c r="AD136" s="38"/>
      <c r="AE136" s="39"/>
    </row>
    <row r="137" spans="1:31" s="40" customFormat="1" ht="39" customHeight="1" x14ac:dyDescent="0.3">
      <c r="A137" s="94">
        <v>52</v>
      </c>
      <c r="B137" s="53" t="s">
        <v>180</v>
      </c>
      <c r="C137" s="53" t="s">
        <v>268</v>
      </c>
      <c r="D137" s="94">
        <v>0.55256000000000005</v>
      </c>
      <c r="E137" s="94">
        <v>0.55256000000000005</v>
      </c>
      <c r="F137" s="123" t="s">
        <v>157</v>
      </c>
      <c r="G137" s="123" t="s">
        <v>183</v>
      </c>
      <c r="H137" s="51">
        <v>100</v>
      </c>
      <c r="I137" s="125">
        <v>74600</v>
      </c>
      <c r="J137" s="126" t="s">
        <v>93</v>
      </c>
      <c r="K137" s="127">
        <v>45421</v>
      </c>
      <c r="L137" s="55">
        <v>74600</v>
      </c>
      <c r="M137" s="94">
        <v>6.75</v>
      </c>
      <c r="N137" s="55">
        <f>M137*E137*10000</f>
        <v>37297.800000000003</v>
      </c>
      <c r="O137" s="53"/>
      <c r="P137" s="127">
        <v>45623</v>
      </c>
      <c r="Q137" s="94"/>
      <c r="R137" s="52">
        <v>280000</v>
      </c>
      <c r="S137" s="54"/>
      <c r="T137" s="54"/>
      <c r="U137" s="54"/>
      <c r="V137" s="55"/>
      <c r="W137" s="138"/>
      <c r="X137" s="18">
        <f>R137/L137</f>
        <v>3.7533512064343162</v>
      </c>
      <c r="Y137" s="71">
        <f>E137*10000</f>
        <v>5525.6</v>
      </c>
      <c r="Z137" s="55">
        <f>L137</f>
        <v>74600</v>
      </c>
      <c r="AA137" s="55">
        <f t="shared" ref="AA137:AA178" si="35">Z137/Y137</f>
        <v>13.500796293615172</v>
      </c>
      <c r="AB137" s="54">
        <f t="shared" ref="AB137:AB174" si="36">Y137</f>
        <v>5525.6</v>
      </c>
      <c r="AC137" s="57">
        <f>R137</f>
        <v>280000</v>
      </c>
      <c r="AD137" s="57">
        <f t="shared" ref="AD137:AD178" si="37">AC137/AB137</f>
        <v>50.673230056464455</v>
      </c>
      <c r="AE137" s="58">
        <f t="shared" si="33"/>
        <v>3.7533512064343162</v>
      </c>
    </row>
    <row r="138" spans="1:31" s="40" customFormat="1" ht="44.4" customHeight="1" x14ac:dyDescent="0.3">
      <c r="A138" s="60">
        <v>53</v>
      </c>
      <c r="B138" s="80" t="s">
        <v>172</v>
      </c>
      <c r="C138" s="80" t="s">
        <v>269</v>
      </c>
      <c r="D138" s="60" t="s">
        <v>270</v>
      </c>
      <c r="E138" s="60">
        <v>0.58069999999999999</v>
      </c>
      <c r="F138" s="90" t="s">
        <v>157</v>
      </c>
      <c r="G138" s="90" t="s">
        <v>271</v>
      </c>
      <c r="H138" s="91">
        <v>200</v>
      </c>
      <c r="I138" s="92">
        <v>1129782</v>
      </c>
      <c r="J138" s="93" t="s">
        <v>93</v>
      </c>
      <c r="K138" s="81">
        <v>45391</v>
      </c>
      <c r="L138" s="37">
        <v>2259564</v>
      </c>
      <c r="M138" s="79"/>
      <c r="N138" s="102"/>
      <c r="O138" s="74"/>
      <c r="P138" s="81"/>
      <c r="Q138" s="74"/>
      <c r="R138" s="63"/>
      <c r="S138" s="36"/>
      <c r="T138" s="36"/>
      <c r="U138" s="36"/>
      <c r="V138" s="37"/>
      <c r="W138" s="139"/>
      <c r="X138" s="64"/>
      <c r="Y138" s="73">
        <f>E138*10000</f>
        <v>5807</v>
      </c>
      <c r="Z138" s="37">
        <f>L138</f>
        <v>2259564</v>
      </c>
      <c r="AA138" s="37">
        <f t="shared" si="35"/>
        <v>389.11038401928704</v>
      </c>
      <c r="AB138" s="73">
        <f>SUM(Q139:Q141)*10000</f>
        <v>5807</v>
      </c>
      <c r="AC138" s="38">
        <f>SUM(R139:R141)</f>
        <v>4800000</v>
      </c>
      <c r="AD138" s="38">
        <f t="shared" si="37"/>
        <v>826.58859996555884</v>
      </c>
      <c r="AE138" s="39">
        <f t="shared" si="33"/>
        <v>2.1243036267173672</v>
      </c>
    </row>
    <row r="139" spans="1:31" s="40" customFormat="1" ht="19.2" customHeight="1" x14ac:dyDescent="0.3">
      <c r="A139" s="60"/>
      <c r="B139" s="80"/>
      <c r="C139" s="80"/>
      <c r="D139" s="60"/>
      <c r="E139" s="60"/>
      <c r="F139" s="90"/>
      <c r="G139" s="90"/>
      <c r="H139" s="91"/>
      <c r="I139" s="92"/>
      <c r="J139" s="93"/>
      <c r="K139" s="81"/>
      <c r="L139" s="37"/>
      <c r="M139" s="129">
        <v>251.75</v>
      </c>
      <c r="N139" s="102">
        <f>M139*Q139*10000</f>
        <v>296561.5</v>
      </c>
      <c r="O139" s="74" t="s">
        <v>272</v>
      </c>
      <c r="P139" s="81">
        <v>45566</v>
      </c>
      <c r="Q139" s="74">
        <v>0.1178</v>
      </c>
      <c r="R139" s="63">
        <v>600000</v>
      </c>
      <c r="S139" s="36"/>
      <c r="T139" s="130">
        <v>45651</v>
      </c>
      <c r="U139" s="36"/>
      <c r="V139" s="131">
        <v>800000</v>
      </c>
      <c r="W139" s="139"/>
      <c r="X139" s="35">
        <f>V139/((Q139/SUM($Q$139:$Q$141))*$L$138)</f>
        <v>1.7453071817130374</v>
      </c>
      <c r="Y139" s="73"/>
      <c r="Z139" s="37"/>
      <c r="AA139" s="37"/>
      <c r="AB139" s="36"/>
      <c r="AC139" s="38"/>
      <c r="AD139" s="38"/>
      <c r="AE139" s="39"/>
    </row>
    <row r="140" spans="1:31" s="40" customFormat="1" ht="19.2" customHeight="1" x14ac:dyDescent="0.3">
      <c r="A140" s="60"/>
      <c r="B140" s="80"/>
      <c r="C140" s="80"/>
      <c r="D140" s="60"/>
      <c r="E140" s="60"/>
      <c r="F140" s="90"/>
      <c r="G140" s="90"/>
      <c r="H140" s="91"/>
      <c r="I140" s="92"/>
      <c r="J140" s="93"/>
      <c r="K140" s="81"/>
      <c r="L140" s="37"/>
      <c r="M140" s="129">
        <v>180</v>
      </c>
      <c r="N140" s="102">
        <f t="shared" ref="N140:N141" si="38">M140*Q140*10000</f>
        <v>786420</v>
      </c>
      <c r="O140" s="74" t="s">
        <v>273</v>
      </c>
      <c r="P140" s="81">
        <v>45744</v>
      </c>
      <c r="Q140" s="74">
        <v>0.43690000000000001</v>
      </c>
      <c r="R140" s="63">
        <v>4000000</v>
      </c>
      <c r="S140" s="36"/>
      <c r="T140" s="36"/>
      <c r="U140" s="36"/>
      <c r="V140" s="37"/>
      <c r="W140" s="139"/>
      <c r="X140" s="35">
        <f>R140/((Q140/SUM($Q$139:$Q$141))*$L$138)</f>
        <v>2.3529089723712038</v>
      </c>
      <c r="Y140" s="73"/>
      <c r="Z140" s="37"/>
      <c r="AA140" s="37"/>
      <c r="AB140" s="36"/>
      <c r="AC140" s="38"/>
      <c r="AD140" s="38"/>
      <c r="AE140" s="39"/>
    </row>
    <row r="141" spans="1:31" s="40" customFormat="1" ht="19.2" customHeight="1" x14ac:dyDescent="0.3">
      <c r="A141" s="60"/>
      <c r="B141" s="80"/>
      <c r="C141" s="80"/>
      <c r="D141" s="60"/>
      <c r="E141" s="60"/>
      <c r="F141" s="90"/>
      <c r="G141" s="90"/>
      <c r="H141" s="91"/>
      <c r="I141" s="92"/>
      <c r="J141" s="93"/>
      <c r="K141" s="81"/>
      <c r="L141" s="37"/>
      <c r="M141" s="129">
        <v>180</v>
      </c>
      <c r="N141" s="102">
        <f t="shared" si="38"/>
        <v>46800</v>
      </c>
      <c r="O141" s="74" t="s">
        <v>274</v>
      </c>
      <c r="P141" s="81">
        <v>45558</v>
      </c>
      <c r="Q141" s="74">
        <v>2.5999999999999999E-2</v>
      </c>
      <c r="R141" s="63">
        <v>200000</v>
      </c>
      <c r="S141" s="36"/>
      <c r="T141" s="36"/>
      <c r="U141" s="36"/>
      <c r="V141" s="37"/>
      <c r="W141" s="139"/>
      <c r="X141" s="35">
        <f>R141/((Q141/SUM($Q$139:$Q$141))*$L$138)</f>
        <v>1.9768960192864982</v>
      </c>
      <c r="Y141" s="73"/>
      <c r="Z141" s="37"/>
      <c r="AA141" s="37"/>
      <c r="AB141" s="36"/>
      <c r="AC141" s="38"/>
      <c r="AD141" s="38"/>
      <c r="AE141" s="39"/>
    </row>
    <row r="142" spans="1:31" s="40" customFormat="1" ht="56.4" customHeight="1" x14ac:dyDescent="0.3">
      <c r="A142" s="94">
        <v>54</v>
      </c>
      <c r="B142" s="53" t="s">
        <v>40</v>
      </c>
      <c r="C142" s="53" t="s">
        <v>275</v>
      </c>
      <c r="D142" s="94" t="s">
        <v>276</v>
      </c>
      <c r="E142" s="94">
        <v>0.71289999999999998</v>
      </c>
      <c r="F142" s="123" t="s">
        <v>157</v>
      </c>
      <c r="G142" s="123" t="s">
        <v>277</v>
      </c>
      <c r="H142" s="124">
        <v>200</v>
      </c>
      <c r="I142" s="125">
        <v>810697</v>
      </c>
      <c r="J142" s="126" t="s">
        <v>93</v>
      </c>
      <c r="K142" s="127">
        <v>45391</v>
      </c>
      <c r="L142" s="55">
        <v>1621394</v>
      </c>
      <c r="M142" s="94"/>
      <c r="N142" s="55"/>
      <c r="O142" s="53"/>
      <c r="P142" s="127"/>
      <c r="Q142" s="94"/>
      <c r="R142" s="52"/>
      <c r="S142" s="54"/>
      <c r="T142" s="54"/>
      <c r="U142" s="54"/>
      <c r="V142" s="55"/>
      <c r="W142" s="138"/>
      <c r="X142" s="78"/>
      <c r="Y142" s="71">
        <f>E142*10000</f>
        <v>7129</v>
      </c>
      <c r="Z142" s="55">
        <f>L142</f>
        <v>1621394</v>
      </c>
      <c r="AA142" s="55">
        <f t="shared" si="35"/>
        <v>227.43638658998458</v>
      </c>
      <c r="AB142" s="71">
        <f>SUM(Q143:Q145)*10000</f>
        <v>5771.9999999999991</v>
      </c>
      <c r="AC142" s="57">
        <f>SUM(R143:R145)</f>
        <v>1550000</v>
      </c>
      <c r="AD142" s="57">
        <f t="shared" si="37"/>
        <v>268.53776853776856</v>
      </c>
      <c r="AE142" s="58">
        <f t="shared" si="33"/>
        <v>1.1807159468369515</v>
      </c>
    </row>
    <row r="143" spans="1:31" s="40" customFormat="1" ht="17.399999999999999" customHeight="1" x14ac:dyDescent="0.3">
      <c r="A143" s="94"/>
      <c r="B143" s="53"/>
      <c r="C143" s="53"/>
      <c r="D143" s="94"/>
      <c r="E143" s="94"/>
      <c r="F143" s="123"/>
      <c r="G143" s="123"/>
      <c r="H143" s="124"/>
      <c r="I143" s="125"/>
      <c r="J143" s="126"/>
      <c r="K143" s="127"/>
      <c r="L143" s="55"/>
      <c r="M143" s="94">
        <v>118.5</v>
      </c>
      <c r="N143" s="55">
        <f>M143*Q143*10000</f>
        <v>382399.5</v>
      </c>
      <c r="O143" s="53" t="s">
        <v>278</v>
      </c>
      <c r="P143" s="127">
        <v>45568</v>
      </c>
      <c r="Q143" s="94">
        <v>0.32269999999999999</v>
      </c>
      <c r="R143" s="52">
        <v>1000000</v>
      </c>
      <c r="S143" s="54"/>
      <c r="T143" s="54"/>
      <c r="U143" s="54"/>
      <c r="V143" s="55"/>
      <c r="W143" s="138"/>
      <c r="X143" s="18">
        <f>R143/((Q143/SUM($Q$143:$Q$149))*$L$142)</f>
        <v>1.3625143587158517</v>
      </c>
      <c r="Y143" s="71"/>
      <c r="Z143" s="55"/>
      <c r="AA143" s="55"/>
      <c r="AB143" s="54"/>
      <c r="AC143" s="57"/>
      <c r="AD143" s="57"/>
      <c r="AE143" s="58"/>
    </row>
    <row r="144" spans="1:31" s="40" customFormat="1" ht="17.399999999999999" customHeight="1" x14ac:dyDescent="0.3">
      <c r="A144" s="94"/>
      <c r="B144" s="53"/>
      <c r="C144" s="53"/>
      <c r="D144" s="94"/>
      <c r="E144" s="94"/>
      <c r="F144" s="123"/>
      <c r="G144" s="123"/>
      <c r="H144" s="124"/>
      <c r="I144" s="125"/>
      <c r="J144" s="126"/>
      <c r="K144" s="127"/>
      <c r="L144" s="55"/>
      <c r="M144" s="94">
        <v>118.5</v>
      </c>
      <c r="N144" s="55">
        <f t="shared" ref="N144:N149" si="39">M144*Q144*10000</f>
        <v>215077.49999999997</v>
      </c>
      <c r="O144" s="53" t="s">
        <v>279</v>
      </c>
      <c r="P144" s="127">
        <v>45552</v>
      </c>
      <c r="Q144" s="94">
        <v>0.18149999999999999</v>
      </c>
      <c r="R144" s="52">
        <v>500000</v>
      </c>
      <c r="S144" s="54"/>
      <c r="T144" s="132">
        <v>45558</v>
      </c>
      <c r="U144" s="54"/>
      <c r="V144" s="133">
        <v>2113000</v>
      </c>
      <c r="W144" s="138"/>
      <c r="X144" s="18">
        <f>V144/((Q144/SUM($Q$143:$Q$149))*$L$142)</f>
        <v>5.118738233924077</v>
      </c>
      <c r="Y144" s="71"/>
      <c r="Z144" s="55"/>
      <c r="AA144" s="55"/>
      <c r="AB144" s="54"/>
      <c r="AC144" s="57"/>
      <c r="AD144" s="57"/>
      <c r="AE144" s="58"/>
    </row>
    <row r="145" spans="1:31" s="40" customFormat="1" ht="17.399999999999999" customHeight="1" x14ac:dyDescent="0.3">
      <c r="A145" s="94"/>
      <c r="B145" s="53"/>
      <c r="C145" s="53"/>
      <c r="D145" s="94"/>
      <c r="E145" s="94"/>
      <c r="F145" s="123"/>
      <c r="G145" s="123"/>
      <c r="H145" s="124"/>
      <c r="I145" s="125"/>
      <c r="J145" s="126"/>
      <c r="K145" s="127"/>
      <c r="L145" s="55"/>
      <c r="M145" s="94">
        <v>6.75</v>
      </c>
      <c r="N145" s="55">
        <f t="shared" si="39"/>
        <v>4927.5</v>
      </c>
      <c r="O145" s="53" t="s">
        <v>280</v>
      </c>
      <c r="P145" s="127">
        <v>45559</v>
      </c>
      <c r="Q145" s="94">
        <v>7.2999999999999995E-2</v>
      </c>
      <c r="R145" s="52">
        <v>50000</v>
      </c>
      <c r="S145" s="54"/>
      <c r="T145" s="54"/>
      <c r="U145" s="54"/>
      <c r="V145" s="55"/>
      <c r="W145" s="138"/>
      <c r="X145" s="18">
        <f t="shared" ref="X145" si="40">R145/((Q145/SUM($Q$143:$Q$149))*$L$142)</f>
        <v>0.301153002436716</v>
      </c>
      <c r="Y145" s="71"/>
      <c r="Z145" s="55"/>
      <c r="AA145" s="55"/>
      <c r="AB145" s="54"/>
      <c r="AC145" s="57"/>
      <c r="AD145" s="57"/>
      <c r="AE145" s="58"/>
    </row>
    <row r="146" spans="1:31" s="40" customFormat="1" ht="17.399999999999999" customHeight="1" x14ac:dyDescent="0.3">
      <c r="A146" s="94"/>
      <c r="B146" s="53"/>
      <c r="C146" s="53"/>
      <c r="D146" s="94"/>
      <c r="E146" s="94"/>
      <c r="F146" s="123"/>
      <c r="G146" s="123"/>
      <c r="H146" s="124"/>
      <c r="I146" s="125"/>
      <c r="J146" s="126"/>
      <c r="K146" s="127"/>
      <c r="L146" s="55"/>
      <c r="M146" s="94">
        <v>180</v>
      </c>
      <c r="N146" s="55">
        <f t="shared" si="39"/>
        <v>112140</v>
      </c>
      <c r="O146" s="53" t="s">
        <v>281</v>
      </c>
      <c r="P146" s="127"/>
      <c r="Q146" s="94">
        <v>6.2300000000000001E-2</v>
      </c>
      <c r="R146" s="52">
        <v>0</v>
      </c>
      <c r="S146" s="54"/>
      <c r="T146" s="54"/>
      <c r="U146" s="54"/>
      <c r="V146" s="55"/>
      <c r="W146" s="138"/>
      <c r="X146" s="78"/>
      <c r="Y146" s="71"/>
      <c r="Z146" s="55"/>
      <c r="AA146" s="55"/>
      <c r="AB146" s="54"/>
      <c r="AC146" s="57"/>
      <c r="AD146" s="57"/>
      <c r="AE146" s="58"/>
    </row>
    <row r="147" spans="1:31" s="40" customFormat="1" ht="17.399999999999999" customHeight="1" x14ac:dyDescent="0.3">
      <c r="A147" s="94"/>
      <c r="B147" s="53"/>
      <c r="C147" s="53"/>
      <c r="D147" s="94"/>
      <c r="E147" s="94"/>
      <c r="F147" s="123"/>
      <c r="G147" s="123"/>
      <c r="H147" s="124"/>
      <c r="I147" s="125"/>
      <c r="J147" s="126"/>
      <c r="K147" s="127"/>
      <c r="L147" s="55"/>
      <c r="M147" s="94">
        <v>118.5</v>
      </c>
      <c r="N147" s="55">
        <f t="shared" si="39"/>
        <v>19552.5</v>
      </c>
      <c r="O147" s="53" t="s">
        <v>282</v>
      </c>
      <c r="P147" s="127"/>
      <c r="Q147" s="94">
        <v>1.6500000000000001E-2</v>
      </c>
      <c r="R147" s="52">
        <v>0</v>
      </c>
      <c r="S147" s="54"/>
      <c r="T147" s="54"/>
      <c r="U147" s="54"/>
      <c r="V147" s="55"/>
      <c r="W147" s="138"/>
      <c r="X147" s="78"/>
      <c r="Y147" s="71"/>
      <c r="Z147" s="55"/>
      <c r="AA147" s="55"/>
      <c r="AB147" s="54"/>
      <c r="AC147" s="57"/>
      <c r="AD147" s="57"/>
      <c r="AE147" s="58"/>
    </row>
    <row r="148" spans="1:31" s="40" customFormat="1" ht="17.399999999999999" customHeight="1" x14ac:dyDescent="0.3">
      <c r="A148" s="94"/>
      <c r="B148" s="53"/>
      <c r="C148" s="53"/>
      <c r="D148" s="94"/>
      <c r="E148" s="94"/>
      <c r="F148" s="123"/>
      <c r="G148" s="123"/>
      <c r="H148" s="124"/>
      <c r="I148" s="125"/>
      <c r="J148" s="126"/>
      <c r="K148" s="127"/>
      <c r="L148" s="55"/>
      <c r="M148" s="94">
        <v>118.5</v>
      </c>
      <c r="N148" s="55">
        <f t="shared" si="39"/>
        <v>52614</v>
      </c>
      <c r="O148" s="53" t="s">
        <v>283</v>
      </c>
      <c r="P148" s="127"/>
      <c r="Q148" s="94">
        <v>4.4400000000000002E-2</v>
      </c>
      <c r="R148" s="52">
        <v>0</v>
      </c>
      <c r="S148" s="54"/>
      <c r="T148" s="54"/>
      <c r="U148" s="54"/>
      <c r="V148" s="55"/>
      <c r="W148" s="138"/>
      <c r="X148" s="78"/>
      <c r="Y148" s="71"/>
      <c r="Z148" s="55"/>
      <c r="AA148" s="55"/>
      <c r="AB148" s="54"/>
      <c r="AC148" s="57"/>
      <c r="AD148" s="57"/>
      <c r="AE148" s="58"/>
    </row>
    <row r="149" spans="1:31" s="40" customFormat="1" ht="17.399999999999999" customHeight="1" x14ac:dyDescent="0.3">
      <c r="A149" s="94"/>
      <c r="B149" s="53"/>
      <c r="C149" s="53"/>
      <c r="D149" s="94"/>
      <c r="E149" s="94"/>
      <c r="F149" s="123"/>
      <c r="G149" s="123"/>
      <c r="H149" s="124"/>
      <c r="I149" s="125"/>
      <c r="J149" s="126"/>
      <c r="K149" s="127"/>
      <c r="L149" s="55"/>
      <c r="M149" s="94">
        <v>180</v>
      </c>
      <c r="N149" s="55">
        <f t="shared" si="39"/>
        <v>22500</v>
      </c>
      <c r="O149" s="53" t="s">
        <v>284</v>
      </c>
      <c r="P149" s="127"/>
      <c r="Q149" s="94">
        <v>1.2500000000000001E-2</v>
      </c>
      <c r="R149" s="52">
        <v>0</v>
      </c>
      <c r="S149" s="54"/>
      <c r="T149" s="54"/>
      <c r="U149" s="54"/>
      <c r="V149" s="55"/>
      <c r="W149" s="138"/>
      <c r="X149" s="78"/>
      <c r="Y149" s="71"/>
      <c r="Z149" s="55"/>
      <c r="AA149" s="55"/>
      <c r="AB149" s="54"/>
      <c r="AC149" s="57"/>
      <c r="AD149" s="57"/>
      <c r="AE149" s="58"/>
    </row>
    <row r="150" spans="1:31" s="40" customFormat="1" ht="39" customHeight="1" x14ac:dyDescent="0.3">
      <c r="A150" s="60">
        <v>55</v>
      </c>
      <c r="B150" s="80" t="s">
        <v>40</v>
      </c>
      <c r="C150" s="80" t="s">
        <v>285</v>
      </c>
      <c r="D150" s="60">
        <v>0.2944</v>
      </c>
      <c r="E150" s="60">
        <v>0.2944</v>
      </c>
      <c r="F150" s="90" t="s">
        <v>157</v>
      </c>
      <c r="G150" s="90" t="s">
        <v>202</v>
      </c>
      <c r="H150" s="91">
        <v>200</v>
      </c>
      <c r="I150" s="92">
        <v>469568</v>
      </c>
      <c r="J150" s="93" t="s">
        <v>286</v>
      </c>
      <c r="K150" s="81" t="s">
        <v>287</v>
      </c>
      <c r="L150" s="37">
        <v>939136</v>
      </c>
      <c r="M150" s="79">
        <v>159.5</v>
      </c>
      <c r="N150" s="102">
        <f>M150*E150*10000</f>
        <v>469568</v>
      </c>
      <c r="O150" s="74"/>
      <c r="P150" s="81">
        <v>45660</v>
      </c>
      <c r="Q150" s="74"/>
      <c r="R150" s="63">
        <v>3500000</v>
      </c>
      <c r="S150" s="36"/>
      <c r="T150" s="36"/>
      <c r="U150" s="36"/>
      <c r="V150" s="37"/>
      <c r="W150" s="139"/>
      <c r="X150" s="64"/>
      <c r="Y150" s="73">
        <f>E150*10000</f>
        <v>2944</v>
      </c>
      <c r="Z150" s="37">
        <f>L150</f>
        <v>939136</v>
      </c>
      <c r="AA150" s="37">
        <f t="shared" si="35"/>
        <v>319</v>
      </c>
      <c r="AB150" s="73">
        <f t="shared" si="36"/>
        <v>2944</v>
      </c>
      <c r="AC150" s="38">
        <f>R150</f>
        <v>3500000</v>
      </c>
      <c r="AD150" s="38">
        <f t="shared" si="37"/>
        <v>1188.858695652174</v>
      </c>
      <c r="AE150" s="39">
        <f t="shared" si="33"/>
        <v>3.7268297669347148</v>
      </c>
    </row>
    <row r="151" spans="1:31" s="40" customFormat="1" ht="39" customHeight="1" x14ac:dyDescent="0.3">
      <c r="A151" s="94">
        <v>56</v>
      </c>
      <c r="B151" s="53" t="s">
        <v>40</v>
      </c>
      <c r="C151" s="53" t="s">
        <v>288</v>
      </c>
      <c r="D151" s="94" t="s">
        <v>289</v>
      </c>
      <c r="E151" s="94">
        <v>1.3098999999999998</v>
      </c>
      <c r="F151" s="123" t="s">
        <v>157</v>
      </c>
      <c r="G151" s="123" t="s">
        <v>290</v>
      </c>
      <c r="H151" s="124">
        <v>200</v>
      </c>
      <c r="I151" s="125">
        <v>806413</v>
      </c>
      <c r="J151" s="126" t="s">
        <v>95</v>
      </c>
      <c r="K151" s="127" t="s">
        <v>291</v>
      </c>
      <c r="L151" s="55">
        <v>1612826</v>
      </c>
      <c r="M151" s="94"/>
      <c r="N151" s="55">
        <f>+N153*2</f>
        <v>53648.999999999993</v>
      </c>
      <c r="O151" s="53"/>
      <c r="P151" s="127"/>
      <c r="Q151" s="94"/>
      <c r="R151" s="52"/>
      <c r="S151" s="54"/>
      <c r="T151" s="54"/>
      <c r="U151" s="54"/>
      <c r="V151" s="55"/>
      <c r="W151" s="138"/>
      <c r="X151" s="78"/>
      <c r="Y151" s="71">
        <f>E151*10000</f>
        <v>13098.999999999998</v>
      </c>
      <c r="Z151" s="55">
        <f>L151</f>
        <v>1612826</v>
      </c>
      <c r="AA151" s="55">
        <f t="shared" si="35"/>
        <v>123.12588747232616</v>
      </c>
      <c r="AB151" s="71">
        <f>SUM(Q152:Q153)*10000</f>
        <v>13098.999999999998</v>
      </c>
      <c r="AC151" s="55">
        <f>SUM(V152:V153)</f>
        <v>15326000</v>
      </c>
      <c r="AD151" s="57">
        <f t="shared" si="37"/>
        <v>1170.0129780899306</v>
      </c>
      <c r="AE151" s="58">
        <f t="shared" si="33"/>
        <v>9.5025749832901987</v>
      </c>
    </row>
    <row r="152" spans="1:31" s="40" customFormat="1" ht="23.4" customHeight="1" x14ac:dyDescent="0.3">
      <c r="A152" s="94"/>
      <c r="B152" s="53"/>
      <c r="C152" s="53"/>
      <c r="D152" s="94"/>
      <c r="E152" s="94"/>
      <c r="F152" s="123"/>
      <c r="G152" s="123"/>
      <c r="H152" s="124"/>
      <c r="I152" s="125"/>
      <c r="J152" s="126"/>
      <c r="K152" s="127"/>
      <c r="L152" s="55"/>
      <c r="M152" s="94" t="s">
        <v>292</v>
      </c>
      <c r="N152" s="55">
        <f>(L151-N153*2)/2</f>
        <v>779588.5</v>
      </c>
      <c r="O152" s="53" t="s">
        <v>293</v>
      </c>
      <c r="P152" s="127">
        <v>45609</v>
      </c>
      <c r="Q152" s="94">
        <v>0.91249999999999998</v>
      </c>
      <c r="R152" s="52">
        <v>2300000</v>
      </c>
      <c r="S152" s="54"/>
      <c r="T152" s="132">
        <v>45611</v>
      </c>
      <c r="U152" s="54"/>
      <c r="V152" s="133">
        <v>10676000</v>
      </c>
      <c r="W152" s="138"/>
      <c r="X152" s="18">
        <f>V152/((Q152/SUM($Q$152:$Q$153))*$L$151)</f>
        <v>9.502247064027781</v>
      </c>
      <c r="Y152" s="71"/>
      <c r="Z152" s="55"/>
      <c r="AA152" s="55"/>
      <c r="AB152" s="54"/>
      <c r="AC152" s="57"/>
      <c r="AD152" s="57"/>
      <c r="AE152" s="58"/>
    </row>
    <row r="153" spans="1:31" s="40" customFormat="1" ht="18" customHeight="1" x14ac:dyDescent="0.3">
      <c r="A153" s="94"/>
      <c r="B153" s="53"/>
      <c r="C153" s="53"/>
      <c r="D153" s="94"/>
      <c r="E153" s="94"/>
      <c r="F153" s="123"/>
      <c r="G153" s="123"/>
      <c r="H153" s="124"/>
      <c r="I153" s="125"/>
      <c r="J153" s="126"/>
      <c r="K153" s="127"/>
      <c r="L153" s="55"/>
      <c r="M153" s="94">
        <v>6.75</v>
      </c>
      <c r="N153" s="55">
        <f>M153*Q153*10000</f>
        <v>26824.499999999996</v>
      </c>
      <c r="O153" s="53" t="s">
        <v>294</v>
      </c>
      <c r="P153" s="127">
        <v>45609</v>
      </c>
      <c r="Q153" s="94">
        <v>0.39739999999999998</v>
      </c>
      <c r="R153" s="52">
        <v>100000</v>
      </c>
      <c r="S153" s="54"/>
      <c r="T153" s="132">
        <v>45611</v>
      </c>
      <c r="U153" s="54"/>
      <c r="V153" s="133">
        <v>4650000</v>
      </c>
      <c r="W153" s="138"/>
      <c r="X153" s="18">
        <f>V153/((Q153/SUM($Q$152:$Q$153))*$L$151)</f>
        <v>9.5033279433479656</v>
      </c>
      <c r="Y153" s="71"/>
      <c r="Z153" s="55"/>
      <c r="AA153" s="55"/>
      <c r="AB153" s="54"/>
      <c r="AC153" s="57"/>
      <c r="AD153" s="57"/>
      <c r="AE153" s="58"/>
    </row>
    <row r="154" spans="1:31" s="40" customFormat="1" ht="43.2" customHeight="1" x14ac:dyDescent="0.3">
      <c r="A154" s="60">
        <v>57</v>
      </c>
      <c r="B154" s="80" t="s">
        <v>40</v>
      </c>
      <c r="C154" s="80" t="s">
        <v>295</v>
      </c>
      <c r="D154" s="60" t="s">
        <v>296</v>
      </c>
      <c r="E154" s="60">
        <v>1.7450140000000001</v>
      </c>
      <c r="F154" s="90" t="s">
        <v>157</v>
      </c>
      <c r="G154" s="90" t="s">
        <v>297</v>
      </c>
      <c r="H154" s="91" t="s">
        <v>298</v>
      </c>
      <c r="I154" s="92">
        <v>1414898</v>
      </c>
      <c r="J154" s="93" t="s">
        <v>95</v>
      </c>
      <c r="K154" s="81" t="s">
        <v>96</v>
      </c>
      <c r="L154" s="37">
        <v>2829796</v>
      </c>
      <c r="M154" s="79"/>
      <c r="N154" s="102"/>
      <c r="O154" s="74"/>
      <c r="P154" s="81"/>
      <c r="Q154" s="74"/>
      <c r="R154" s="63"/>
      <c r="S154" s="36"/>
      <c r="T154" s="36"/>
      <c r="U154" s="36"/>
      <c r="V154" s="37"/>
      <c r="W154" s="139"/>
      <c r="X154" s="64"/>
      <c r="Y154" s="73">
        <f>E154*10000</f>
        <v>17450.14</v>
      </c>
      <c r="Z154" s="37">
        <f>L154</f>
        <v>2829796</v>
      </c>
      <c r="AA154" s="37">
        <f t="shared" si="35"/>
        <v>162.16465885087456</v>
      </c>
      <c r="AB154" s="134">
        <f>SUM(Q156,Q157,Q158,Q159,Q160)*10000</f>
        <v>17046</v>
      </c>
      <c r="AC154" s="38">
        <f>SUM(R156,R157,R158,R159,R160)</f>
        <v>14167000</v>
      </c>
      <c r="AD154" s="38">
        <f t="shared" si="37"/>
        <v>831.10407133638387</v>
      </c>
      <c r="AE154" s="39">
        <f t="shared" si="33"/>
        <v>5.1250628665069442</v>
      </c>
    </row>
    <row r="155" spans="1:31" s="40" customFormat="1" ht="17.399999999999999" customHeight="1" x14ac:dyDescent="0.3">
      <c r="A155" s="60"/>
      <c r="B155" s="80"/>
      <c r="C155" s="80"/>
      <c r="D155" s="60"/>
      <c r="E155" s="60"/>
      <c r="F155" s="90"/>
      <c r="G155" s="90"/>
      <c r="H155" s="91"/>
      <c r="I155" s="92"/>
      <c r="J155" s="93"/>
      <c r="K155" s="81"/>
      <c r="L155" s="37"/>
      <c r="M155" s="79">
        <v>6.75</v>
      </c>
      <c r="N155" s="102">
        <f>M155*Q155*10000</f>
        <v>2727.9450000000002</v>
      </c>
      <c r="O155" s="74" t="s">
        <v>299</v>
      </c>
      <c r="P155" s="81"/>
      <c r="Q155" s="74">
        <v>4.0413999999999999E-2</v>
      </c>
      <c r="R155" s="63">
        <v>0</v>
      </c>
      <c r="S155" s="36"/>
      <c r="T155" s="36"/>
      <c r="U155" s="36"/>
      <c r="V155" s="37"/>
      <c r="W155" s="139"/>
      <c r="X155" s="35"/>
      <c r="Y155" s="73"/>
      <c r="Z155" s="37"/>
      <c r="AA155" s="37"/>
      <c r="AB155" s="36"/>
      <c r="AC155" s="38"/>
      <c r="AD155" s="38"/>
      <c r="AE155" s="39"/>
    </row>
    <row r="156" spans="1:31" s="40" customFormat="1" ht="19.2" customHeight="1" x14ac:dyDescent="0.3">
      <c r="A156" s="60"/>
      <c r="B156" s="80"/>
      <c r="C156" s="80"/>
      <c r="D156" s="60"/>
      <c r="E156" s="60"/>
      <c r="F156" s="90"/>
      <c r="G156" s="90"/>
      <c r="H156" s="91"/>
      <c r="I156" s="92"/>
      <c r="J156" s="93"/>
      <c r="K156" s="81"/>
      <c r="L156" s="37"/>
      <c r="M156" s="79">
        <v>6.75</v>
      </c>
      <c r="N156" s="102">
        <f t="shared" ref="N156:N160" si="41">M156*Q156*10000</f>
        <v>3483</v>
      </c>
      <c r="O156" s="74" t="s">
        <v>300</v>
      </c>
      <c r="P156" s="81">
        <v>45654</v>
      </c>
      <c r="Q156" s="74">
        <v>5.16E-2</v>
      </c>
      <c r="R156" s="163">
        <v>350000</v>
      </c>
      <c r="S156" s="36"/>
      <c r="T156" s="36"/>
      <c r="U156" s="36"/>
      <c r="V156" s="37"/>
      <c r="W156" s="165" t="s">
        <v>301</v>
      </c>
      <c r="X156" s="166">
        <f>R156/((SUM(Q156:Q157)/SUM($Q$155:$Q$160))*$L$154)</f>
        <v>0.41577732683716212</v>
      </c>
      <c r="Y156" s="73"/>
      <c r="Z156" s="37"/>
      <c r="AA156" s="37"/>
      <c r="AB156" s="36"/>
      <c r="AC156" s="38"/>
      <c r="AD156" s="38"/>
      <c r="AE156" s="39"/>
    </row>
    <row r="157" spans="1:31" s="40" customFormat="1" ht="19.2" customHeight="1" x14ac:dyDescent="0.3">
      <c r="A157" s="60"/>
      <c r="B157" s="80"/>
      <c r="C157" s="80"/>
      <c r="D157" s="60"/>
      <c r="E157" s="60"/>
      <c r="F157" s="90"/>
      <c r="G157" s="90"/>
      <c r="H157" s="91"/>
      <c r="I157" s="92"/>
      <c r="J157" s="93"/>
      <c r="K157" s="81"/>
      <c r="L157" s="37"/>
      <c r="M157" s="79">
        <v>6.75</v>
      </c>
      <c r="N157" s="102">
        <f>M157*Q157*10000</f>
        <v>31556.25</v>
      </c>
      <c r="O157" s="74" t="s">
        <v>302</v>
      </c>
      <c r="P157" s="81">
        <v>45654</v>
      </c>
      <c r="Q157" s="74">
        <v>0.46750000000000003</v>
      </c>
      <c r="R157" s="164"/>
      <c r="S157" s="36"/>
      <c r="T157" s="36"/>
      <c r="U157" s="36"/>
      <c r="V157" s="37"/>
      <c r="W157" s="165"/>
      <c r="X157" s="166"/>
      <c r="Y157" s="73"/>
      <c r="Z157" s="37"/>
      <c r="AA157" s="37"/>
      <c r="AB157" s="36"/>
      <c r="AC157" s="38"/>
      <c r="AD157" s="38"/>
      <c r="AE157" s="39"/>
    </row>
    <row r="158" spans="1:31" s="40" customFormat="1" ht="17.399999999999999" customHeight="1" x14ac:dyDescent="0.3">
      <c r="A158" s="60"/>
      <c r="B158" s="80"/>
      <c r="C158" s="80"/>
      <c r="D158" s="60"/>
      <c r="E158" s="60"/>
      <c r="F158" s="90"/>
      <c r="G158" s="90"/>
      <c r="H158" s="91"/>
      <c r="I158" s="92"/>
      <c r="J158" s="93"/>
      <c r="K158" s="81"/>
      <c r="L158" s="37"/>
      <c r="M158" s="79">
        <v>118.5</v>
      </c>
      <c r="N158" s="102">
        <f t="shared" si="41"/>
        <v>289258.5</v>
      </c>
      <c r="O158" s="74" t="s">
        <v>303</v>
      </c>
      <c r="P158" s="81">
        <v>45454</v>
      </c>
      <c r="Q158" s="74">
        <v>0.24410000000000001</v>
      </c>
      <c r="R158" s="63">
        <v>2845000</v>
      </c>
      <c r="S158" s="36"/>
      <c r="T158" s="36"/>
      <c r="U158" s="36"/>
      <c r="V158" s="37"/>
      <c r="W158" s="139"/>
      <c r="X158" s="35">
        <f>R158/((Q158/SUM($Q$155:$Q$160))*$L$154)</f>
        <v>7.1871759756251077</v>
      </c>
      <c r="Y158" s="73"/>
      <c r="Z158" s="37"/>
      <c r="AA158" s="37"/>
      <c r="AB158" s="36"/>
      <c r="AC158" s="38"/>
      <c r="AD158" s="38"/>
      <c r="AE158" s="39"/>
    </row>
    <row r="159" spans="1:31" s="40" customFormat="1" ht="17.399999999999999" customHeight="1" x14ac:dyDescent="0.3">
      <c r="A159" s="60"/>
      <c r="B159" s="80"/>
      <c r="C159" s="80"/>
      <c r="D159" s="60"/>
      <c r="E159" s="60"/>
      <c r="F159" s="90"/>
      <c r="G159" s="90"/>
      <c r="H159" s="91"/>
      <c r="I159" s="92"/>
      <c r="J159" s="93"/>
      <c r="K159" s="81"/>
      <c r="L159" s="37"/>
      <c r="M159" s="79">
        <v>118.5</v>
      </c>
      <c r="N159" s="102">
        <f t="shared" si="41"/>
        <v>268402.5</v>
      </c>
      <c r="O159" s="74" t="s">
        <v>304</v>
      </c>
      <c r="P159" s="81">
        <v>45454</v>
      </c>
      <c r="Q159" s="74">
        <v>0.22650000000000001</v>
      </c>
      <c r="R159" s="63">
        <v>2640000</v>
      </c>
      <c r="S159" s="36"/>
      <c r="T159" s="36"/>
      <c r="U159" s="36"/>
      <c r="V159" s="37"/>
      <c r="W159" s="139"/>
      <c r="X159" s="35">
        <f>R159/((Q159/SUM($Q$155:$Q$160))*$L$154)</f>
        <v>7.187527308148737</v>
      </c>
      <c r="Y159" s="73"/>
      <c r="Z159" s="37"/>
      <c r="AA159" s="37"/>
      <c r="AB159" s="36"/>
      <c r="AC159" s="38"/>
      <c r="AD159" s="38"/>
      <c r="AE159" s="39"/>
    </row>
    <row r="160" spans="1:31" s="40" customFormat="1" ht="17.399999999999999" customHeight="1" x14ac:dyDescent="0.3">
      <c r="A160" s="60"/>
      <c r="B160" s="80"/>
      <c r="C160" s="80"/>
      <c r="D160" s="60"/>
      <c r="E160" s="60"/>
      <c r="F160" s="90"/>
      <c r="G160" s="90"/>
      <c r="H160" s="91"/>
      <c r="I160" s="92"/>
      <c r="J160" s="93"/>
      <c r="K160" s="81"/>
      <c r="L160" s="37"/>
      <c r="M160" s="79">
        <v>118.5</v>
      </c>
      <c r="N160" s="102">
        <f t="shared" si="41"/>
        <v>847156.5</v>
      </c>
      <c r="O160" s="74" t="s">
        <v>305</v>
      </c>
      <c r="P160" s="81">
        <v>45454</v>
      </c>
      <c r="Q160" s="74">
        <v>0.71489999999999998</v>
      </c>
      <c r="R160" s="63">
        <v>8332000</v>
      </c>
      <c r="S160" s="36"/>
      <c r="T160" s="36"/>
      <c r="U160" s="36"/>
      <c r="V160" s="37"/>
      <c r="W160" s="139"/>
      <c r="X160" s="35">
        <f>R160/((Q160/SUM($Q$155:$Q$160))*$L$154)</f>
        <v>7.1870017638002359</v>
      </c>
      <c r="Y160" s="73"/>
      <c r="Z160" s="37"/>
      <c r="AA160" s="37"/>
      <c r="AB160" s="36"/>
      <c r="AC160" s="38"/>
      <c r="AD160" s="38"/>
      <c r="AE160" s="39"/>
    </row>
    <row r="161" spans="1:31" s="40" customFormat="1" ht="39" customHeight="1" x14ac:dyDescent="0.3">
      <c r="A161" s="94">
        <v>58</v>
      </c>
      <c r="B161" s="53" t="s">
        <v>81</v>
      </c>
      <c r="C161" s="53" t="s">
        <v>306</v>
      </c>
      <c r="D161" s="94" t="s">
        <v>307</v>
      </c>
      <c r="E161" s="94">
        <v>1.67208</v>
      </c>
      <c r="F161" s="123" t="s">
        <v>157</v>
      </c>
      <c r="G161" s="123" t="s">
        <v>252</v>
      </c>
      <c r="H161" s="124">
        <v>200</v>
      </c>
      <c r="I161" s="125">
        <v>112873</v>
      </c>
      <c r="J161" s="126" t="s">
        <v>111</v>
      </c>
      <c r="K161" s="127" t="s">
        <v>106</v>
      </c>
      <c r="L161" s="55">
        <v>225746</v>
      </c>
      <c r="M161" s="94"/>
      <c r="N161" s="55"/>
      <c r="O161" s="53"/>
      <c r="P161" s="127"/>
      <c r="Q161" s="94"/>
      <c r="R161" s="52"/>
      <c r="S161" s="54"/>
      <c r="T161" s="54"/>
      <c r="U161" s="54"/>
      <c r="V161" s="55"/>
      <c r="W161" s="138"/>
      <c r="X161" s="78"/>
      <c r="Y161" s="71">
        <f>E161*10000</f>
        <v>16720.8</v>
      </c>
      <c r="Z161" s="55">
        <f>L161</f>
        <v>225746</v>
      </c>
      <c r="AA161" s="55">
        <f t="shared" si="35"/>
        <v>13.500909047414</v>
      </c>
      <c r="AB161" s="54">
        <f>Q162*10000</f>
        <v>11924.8</v>
      </c>
      <c r="AC161" s="57">
        <f>R162</f>
        <v>500000</v>
      </c>
      <c r="AD161" s="57">
        <f t="shared" si="37"/>
        <v>41.929424392861939</v>
      </c>
      <c r="AE161" s="58">
        <f t="shared" si="33"/>
        <v>3.1056741620589774</v>
      </c>
    </row>
    <row r="162" spans="1:31" s="40" customFormat="1" ht="21" customHeight="1" x14ac:dyDescent="0.3">
      <c r="A162" s="94"/>
      <c r="B162" s="53"/>
      <c r="C162" s="53"/>
      <c r="D162" s="94"/>
      <c r="E162" s="94"/>
      <c r="F162" s="123"/>
      <c r="G162" s="123"/>
      <c r="H162" s="124"/>
      <c r="I162" s="125"/>
      <c r="J162" s="126"/>
      <c r="K162" s="127"/>
      <c r="L162" s="55"/>
      <c r="M162" s="94">
        <v>6.75</v>
      </c>
      <c r="N162" s="55">
        <f>M162*Q162*10000</f>
        <v>80492.399999999994</v>
      </c>
      <c r="O162" s="53" t="s">
        <v>308</v>
      </c>
      <c r="P162" s="127">
        <v>45632</v>
      </c>
      <c r="Q162" s="94">
        <v>1.19248</v>
      </c>
      <c r="R162" s="52">
        <v>500000</v>
      </c>
      <c r="S162" s="54"/>
      <c r="T162" s="54"/>
      <c r="U162" s="54"/>
      <c r="V162" s="55"/>
      <c r="W162" s="138"/>
      <c r="X162" s="18">
        <f>R162/((Q162/SUM(Q162:Q163))*L161)</f>
        <v>3.105674162058977</v>
      </c>
      <c r="Y162" s="71"/>
      <c r="Z162" s="55"/>
      <c r="AA162" s="55"/>
      <c r="AB162" s="54"/>
      <c r="AC162" s="57"/>
      <c r="AD162" s="57"/>
      <c r="AE162" s="58"/>
    </row>
    <row r="163" spans="1:31" s="40" customFormat="1" ht="21" customHeight="1" x14ac:dyDescent="0.3">
      <c r="A163" s="94"/>
      <c r="B163" s="53"/>
      <c r="C163" s="53"/>
      <c r="D163" s="94"/>
      <c r="E163" s="94"/>
      <c r="F163" s="123"/>
      <c r="G163" s="123"/>
      <c r="H163" s="124"/>
      <c r="I163" s="125"/>
      <c r="J163" s="126"/>
      <c r="K163" s="127"/>
      <c r="L163" s="55"/>
      <c r="M163" s="94">
        <v>6.75</v>
      </c>
      <c r="N163" s="55">
        <f>M163*Q163*10000</f>
        <v>32373.000000000004</v>
      </c>
      <c r="O163" s="53" t="s">
        <v>309</v>
      </c>
      <c r="P163" s="127"/>
      <c r="Q163" s="94">
        <v>0.47960000000000003</v>
      </c>
      <c r="R163" s="52">
        <v>0</v>
      </c>
      <c r="S163" s="54"/>
      <c r="T163" s="54"/>
      <c r="U163" s="54"/>
      <c r="V163" s="55"/>
      <c r="W163" s="138"/>
      <c r="X163" s="78"/>
      <c r="Y163" s="71"/>
      <c r="Z163" s="55"/>
      <c r="AA163" s="55"/>
      <c r="AB163" s="54"/>
      <c r="AC163" s="57"/>
      <c r="AD163" s="57"/>
      <c r="AE163" s="58"/>
    </row>
    <row r="164" spans="1:31" s="40" customFormat="1" ht="39" customHeight="1" x14ac:dyDescent="0.3">
      <c r="A164" s="60">
        <v>59</v>
      </c>
      <c r="B164" s="80" t="s">
        <v>172</v>
      </c>
      <c r="C164" s="80" t="s">
        <v>310</v>
      </c>
      <c r="D164" s="60" t="s">
        <v>311</v>
      </c>
      <c r="E164" s="60">
        <v>1.20706</v>
      </c>
      <c r="F164" s="90" t="s">
        <v>157</v>
      </c>
      <c r="G164" s="90" t="s">
        <v>312</v>
      </c>
      <c r="H164" s="91">
        <v>200</v>
      </c>
      <c r="I164" s="92">
        <v>1954280</v>
      </c>
      <c r="J164" s="93" t="s">
        <v>111</v>
      </c>
      <c r="K164" s="81" t="s">
        <v>313</v>
      </c>
      <c r="L164" s="37">
        <v>3908560</v>
      </c>
      <c r="M164" s="79"/>
      <c r="N164" s="102"/>
      <c r="O164" s="74"/>
      <c r="P164" s="81"/>
      <c r="Q164" s="74"/>
      <c r="R164" s="63"/>
      <c r="S164" s="36"/>
      <c r="T164" s="36"/>
      <c r="U164" s="36"/>
      <c r="V164" s="37"/>
      <c r="W164" s="139"/>
      <c r="X164" s="64"/>
      <c r="Y164" s="73">
        <f>E164*10000</f>
        <v>12070.6</v>
      </c>
      <c r="Z164" s="37">
        <f>L164</f>
        <v>3908560</v>
      </c>
      <c r="AA164" s="37">
        <f t="shared" si="35"/>
        <v>323.80826139545673</v>
      </c>
      <c r="AB164" s="36">
        <f>Q165*10000</f>
        <v>3329.4</v>
      </c>
      <c r="AC164" s="38">
        <f>R165</f>
        <v>300000</v>
      </c>
      <c r="AD164" s="38">
        <f t="shared" si="37"/>
        <v>90.106325464047572</v>
      </c>
      <c r="AE164" s="39">
        <f t="shared" si="33"/>
        <v>0.27827061939597514</v>
      </c>
    </row>
    <row r="165" spans="1:31" s="40" customFormat="1" ht="19.95" customHeight="1" x14ac:dyDescent="0.3">
      <c r="A165" s="60"/>
      <c r="B165" s="80"/>
      <c r="C165" s="80"/>
      <c r="D165" s="60"/>
      <c r="E165" s="60"/>
      <c r="F165" s="90"/>
      <c r="G165" s="90"/>
      <c r="H165" s="91"/>
      <c r="I165" s="92"/>
      <c r="J165" s="93"/>
      <c r="K165" s="81"/>
      <c r="L165" s="37"/>
      <c r="M165" s="79">
        <v>6.75</v>
      </c>
      <c r="N165" s="102">
        <f>M165*Q165*10000</f>
        <v>22473.45</v>
      </c>
      <c r="O165" s="74" t="s">
        <v>314</v>
      </c>
      <c r="P165" s="81">
        <v>45636</v>
      </c>
      <c r="Q165" s="74">
        <v>0.33294000000000001</v>
      </c>
      <c r="R165" s="63">
        <v>300000</v>
      </c>
      <c r="S165" s="36"/>
      <c r="T165" s="36"/>
      <c r="U165" s="36"/>
      <c r="V165" s="37"/>
      <c r="W165" s="139"/>
      <c r="X165" s="35">
        <f>R165/((Q165/SUM(Q165:Q166))*L164)</f>
        <v>0.27827061939597514</v>
      </c>
      <c r="Y165" s="73"/>
      <c r="Z165" s="37"/>
      <c r="AA165" s="37"/>
      <c r="AB165" s="36"/>
      <c r="AC165" s="38"/>
      <c r="AD165" s="38"/>
      <c r="AE165" s="39"/>
    </row>
    <row r="166" spans="1:31" s="40" customFormat="1" ht="19.95" customHeight="1" x14ac:dyDescent="0.3">
      <c r="A166" s="60"/>
      <c r="B166" s="80"/>
      <c r="C166" s="80"/>
      <c r="D166" s="60"/>
      <c r="E166" s="60"/>
      <c r="F166" s="90"/>
      <c r="G166" s="90"/>
      <c r="H166" s="91"/>
      <c r="I166" s="92"/>
      <c r="J166" s="93"/>
      <c r="K166" s="81"/>
      <c r="L166" s="37"/>
      <c r="M166" s="79">
        <v>221</v>
      </c>
      <c r="N166" s="102">
        <f>M166*Q166*10000</f>
        <v>1931805.2</v>
      </c>
      <c r="O166" s="74" t="s">
        <v>315</v>
      </c>
      <c r="P166" s="81"/>
      <c r="Q166" s="74">
        <v>0.87412000000000001</v>
      </c>
      <c r="R166" s="63">
        <v>0</v>
      </c>
      <c r="S166" s="36"/>
      <c r="T166" s="36"/>
      <c r="U166" s="36"/>
      <c r="V166" s="37"/>
      <c r="W166" s="139"/>
      <c r="X166" s="64"/>
      <c r="Y166" s="73"/>
      <c r="Z166" s="37"/>
      <c r="AA166" s="37"/>
      <c r="AB166" s="36"/>
      <c r="AC166" s="38"/>
      <c r="AD166" s="38"/>
      <c r="AE166" s="39"/>
    </row>
    <row r="167" spans="1:31" s="40" customFormat="1" ht="49.2" customHeight="1" x14ac:dyDescent="0.3">
      <c r="A167" s="94">
        <v>60</v>
      </c>
      <c r="B167" s="53" t="s">
        <v>249</v>
      </c>
      <c r="C167" s="53" t="s">
        <v>316</v>
      </c>
      <c r="D167" s="94" t="s">
        <v>317</v>
      </c>
      <c r="E167" s="94">
        <v>0.5696</v>
      </c>
      <c r="F167" s="123" t="s">
        <v>157</v>
      </c>
      <c r="G167" s="123" t="s">
        <v>318</v>
      </c>
      <c r="H167" s="124">
        <v>200</v>
      </c>
      <c r="I167" s="135">
        <v>645738</v>
      </c>
      <c r="J167" s="126">
        <v>45547</v>
      </c>
      <c r="K167" s="127" t="s">
        <v>138</v>
      </c>
      <c r="L167" s="55">
        <v>1291476</v>
      </c>
      <c r="M167" s="94"/>
      <c r="N167" s="55"/>
      <c r="O167" s="53"/>
      <c r="P167" s="127"/>
      <c r="Q167" s="94"/>
      <c r="R167" s="52"/>
      <c r="S167" s="54"/>
      <c r="T167" s="54"/>
      <c r="U167" s="54"/>
      <c r="V167" s="55"/>
      <c r="W167" s="138"/>
      <c r="X167" s="78"/>
      <c r="Y167" s="71">
        <f>E167*10000</f>
        <v>5696</v>
      </c>
      <c r="Z167" s="55">
        <f>L167</f>
        <v>1291476</v>
      </c>
      <c r="AA167" s="55">
        <f t="shared" si="35"/>
        <v>226.73384831460675</v>
      </c>
      <c r="AB167" s="71">
        <f>Q168*10000</f>
        <v>2625</v>
      </c>
      <c r="AC167" s="57">
        <f>R168</f>
        <v>400000</v>
      </c>
      <c r="AD167" s="57">
        <f t="shared" si="37"/>
        <v>152.38095238095238</v>
      </c>
      <c r="AE167" s="58">
        <f t="shared" si="33"/>
        <v>0.67206971307395935</v>
      </c>
    </row>
    <row r="168" spans="1:31" s="40" customFormat="1" ht="18.600000000000001" customHeight="1" x14ac:dyDescent="0.3">
      <c r="A168" s="94"/>
      <c r="B168" s="53"/>
      <c r="C168" s="53"/>
      <c r="D168" s="94"/>
      <c r="E168" s="94"/>
      <c r="F168" s="123"/>
      <c r="G168" s="123"/>
      <c r="H168" s="124"/>
      <c r="I168" s="136"/>
      <c r="J168" s="126"/>
      <c r="K168" s="127"/>
      <c r="L168" s="55"/>
      <c r="M168" s="94">
        <v>6.75</v>
      </c>
      <c r="N168" s="55">
        <f>M168*Q168*10000</f>
        <v>17718.75</v>
      </c>
      <c r="O168" s="53" t="s">
        <v>319</v>
      </c>
      <c r="P168" s="127">
        <v>45782</v>
      </c>
      <c r="Q168" s="94">
        <v>0.26250000000000001</v>
      </c>
      <c r="R168" s="52">
        <v>400000</v>
      </c>
      <c r="S168" s="54"/>
      <c r="T168" s="54"/>
      <c r="U168" s="54"/>
      <c r="V168" s="55"/>
      <c r="W168" s="138"/>
      <c r="X168" s="18">
        <f>R168/((Q168/SUM(Q168:Q170))*L167)</f>
        <v>0.67206971307395935</v>
      </c>
      <c r="Y168" s="71"/>
      <c r="Z168" s="55"/>
      <c r="AA168" s="55"/>
      <c r="AB168" s="54"/>
      <c r="AC168" s="57"/>
      <c r="AD168" s="57"/>
      <c r="AE168" s="58"/>
    </row>
    <row r="169" spans="1:31" s="40" customFormat="1" ht="18.600000000000001" customHeight="1" x14ac:dyDescent="0.3">
      <c r="A169" s="94"/>
      <c r="B169" s="53"/>
      <c r="C169" s="53"/>
      <c r="D169" s="94"/>
      <c r="E169" s="94"/>
      <c r="F169" s="123"/>
      <c r="G169" s="123"/>
      <c r="H169" s="124"/>
      <c r="I169" s="136"/>
      <c r="J169" s="126"/>
      <c r="K169" s="127"/>
      <c r="L169" s="55"/>
      <c r="M169" s="94">
        <v>118.5</v>
      </c>
      <c r="N169" s="55">
        <f t="shared" ref="N169:N170" si="42">M169*Q169*10000</f>
        <v>107005.5</v>
      </c>
      <c r="O169" s="53" t="s">
        <v>320</v>
      </c>
      <c r="P169" s="127"/>
      <c r="Q169" s="94">
        <v>9.0300000000000005E-2</v>
      </c>
      <c r="R169" s="52"/>
      <c r="S169" s="54"/>
      <c r="T169" s="54"/>
      <c r="U169" s="54"/>
      <c r="V169" s="55"/>
      <c r="W169" s="138"/>
      <c r="X169" s="78"/>
      <c r="Y169" s="71"/>
      <c r="Z169" s="55"/>
      <c r="AA169" s="55"/>
      <c r="AB169" s="54"/>
      <c r="AC169" s="57"/>
      <c r="AD169" s="57"/>
      <c r="AE169" s="58"/>
    </row>
    <row r="170" spans="1:31" s="40" customFormat="1" ht="18.600000000000001" customHeight="1" x14ac:dyDescent="0.3">
      <c r="A170" s="94"/>
      <c r="B170" s="53"/>
      <c r="C170" s="53"/>
      <c r="D170" s="94"/>
      <c r="E170" s="94"/>
      <c r="F170" s="123"/>
      <c r="G170" s="123"/>
      <c r="H170" s="124"/>
      <c r="I170" s="136"/>
      <c r="J170" s="126"/>
      <c r="K170" s="127"/>
      <c r="L170" s="55"/>
      <c r="M170" s="94">
        <v>118.5</v>
      </c>
      <c r="N170" s="55">
        <f t="shared" si="42"/>
        <v>256908</v>
      </c>
      <c r="O170" s="53" t="s">
        <v>321</v>
      </c>
      <c r="P170" s="127"/>
      <c r="Q170" s="94">
        <v>0.21679999999999999</v>
      </c>
      <c r="R170" s="52"/>
      <c r="S170" s="54"/>
      <c r="T170" s="54"/>
      <c r="U170" s="54"/>
      <c r="V170" s="55"/>
      <c r="W170" s="138"/>
      <c r="X170" s="78"/>
      <c r="Y170" s="71"/>
      <c r="Z170" s="55"/>
      <c r="AA170" s="55"/>
      <c r="AB170" s="54"/>
      <c r="AC170" s="57"/>
      <c r="AD170" s="57"/>
      <c r="AE170" s="58"/>
    </row>
    <row r="171" spans="1:31" s="40" customFormat="1" ht="39" customHeight="1" x14ac:dyDescent="0.3">
      <c r="A171" s="60">
        <v>61</v>
      </c>
      <c r="B171" s="80" t="s">
        <v>109</v>
      </c>
      <c r="C171" s="80" t="s">
        <v>322</v>
      </c>
      <c r="D171" s="60" t="s">
        <v>323</v>
      </c>
      <c r="E171" s="60">
        <v>0.68740000000000001</v>
      </c>
      <c r="F171" s="90" t="s">
        <v>157</v>
      </c>
      <c r="G171" s="90" t="s">
        <v>324</v>
      </c>
      <c r="H171" s="91">
        <v>200</v>
      </c>
      <c r="I171" s="92">
        <v>68396</v>
      </c>
      <c r="J171" s="81">
        <v>45547</v>
      </c>
      <c r="K171" s="81">
        <v>45638</v>
      </c>
      <c r="L171" s="37">
        <v>136792</v>
      </c>
      <c r="M171" s="79"/>
      <c r="N171" s="102"/>
      <c r="O171" s="74"/>
      <c r="P171" s="81"/>
      <c r="Q171" s="74"/>
      <c r="R171" s="63"/>
      <c r="S171" s="36"/>
      <c r="T171" s="36"/>
      <c r="U171" s="36"/>
      <c r="V171" s="37"/>
      <c r="W171" s="139"/>
      <c r="X171" s="64"/>
      <c r="Y171" s="73">
        <f>E171*10000</f>
        <v>6874</v>
      </c>
      <c r="Z171" s="37">
        <f>L171</f>
        <v>136792</v>
      </c>
      <c r="AA171" s="37">
        <f t="shared" si="35"/>
        <v>19.899912714576665</v>
      </c>
      <c r="AB171" s="73">
        <f>SUM(Q172:Q173)*10000</f>
        <v>6874</v>
      </c>
      <c r="AC171" s="38">
        <f>SUM(R172:R173)</f>
        <v>18184000</v>
      </c>
      <c r="AD171" s="38">
        <f t="shared" si="37"/>
        <v>2645.3302298516146</v>
      </c>
      <c r="AE171" s="39">
        <f t="shared" si="33"/>
        <v>132.93175039475992</v>
      </c>
    </row>
    <row r="172" spans="1:31" s="40" customFormat="1" ht="24.6" customHeight="1" x14ac:dyDescent="0.3">
      <c r="A172" s="60"/>
      <c r="B172" s="80"/>
      <c r="C172" s="80"/>
      <c r="D172" s="60"/>
      <c r="E172" s="60"/>
      <c r="F172" s="90"/>
      <c r="G172" s="90"/>
      <c r="H172" s="91"/>
      <c r="I172" s="92"/>
      <c r="J172" s="93"/>
      <c r="K172" s="81"/>
      <c r="L172" s="37"/>
      <c r="M172" s="64" t="s">
        <v>325</v>
      </c>
      <c r="N172" s="102">
        <f>I171-N173</f>
        <v>62226.5</v>
      </c>
      <c r="O172" s="74" t="s">
        <v>326</v>
      </c>
      <c r="P172" s="81">
        <v>45652</v>
      </c>
      <c r="Q172" s="74">
        <v>0.59599999999999997</v>
      </c>
      <c r="R172" s="63">
        <v>15766000</v>
      </c>
      <c r="S172" s="36"/>
      <c r="T172" s="36"/>
      <c r="U172" s="36"/>
      <c r="V172" s="37"/>
      <c r="W172" s="139"/>
      <c r="X172" s="35">
        <f>R172/((Q172/SUM(Q172:Q173))*L171)</f>
        <v>132.9303324775459</v>
      </c>
      <c r="Y172" s="73"/>
      <c r="Z172" s="37"/>
      <c r="AA172" s="37"/>
      <c r="AB172" s="36"/>
      <c r="AC172" s="38"/>
      <c r="AD172" s="38"/>
      <c r="AE172" s="39"/>
    </row>
    <row r="173" spans="1:31" s="40" customFormat="1" ht="24.6" customHeight="1" x14ac:dyDescent="0.3">
      <c r="A173" s="60"/>
      <c r="B173" s="80"/>
      <c r="C173" s="80"/>
      <c r="D173" s="60"/>
      <c r="E173" s="60"/>
      <c r="F173" s="90"/>
      <c r="G173" s="90"/>
      <c r="H173" s="91"/>
      <c r="I173" s="92"/>
      <c r="J173" s="93"/>
      <c r="K173" s="81"/>
      <c r="L173" s="37"/>
      <c r="M173" s="79">
        <v>6.75</v>
      </c>
      <c r="N173" s="102">
        <f>M173*Q173*10000</f>
        <v>6169.5</v>
      </c>
      <c r="O173" s="74" t="s">
        <v>327</v>
      </c>
      <c r="P173" s="81">
        <v>45652</v>
      </c>
      <c r="Q173" s="74">
        <v>9.1399999999999995E-2</v>
      </c>
      <c r="R173" s="63">
        <v>2418000</v>
      </c>
      <c r="S173" s="36"/>
      <c r="T173" s="36"/>
      <c r="U173" s="36"/>
      <c r="V173" s="37"/>
      <c r="W173" s="139"/>
      <c r="X173" s="35">
        <f>R173/((Q173/SUM(Q172:Q173))*L171)</f>
        <v>132.94099633195435</v>
      </c>
      <c r="Y173" s="73"/>
      <c r="Z173" s="37"/>
      <c r="AA173" s="37"/>
      <c r="AB173" s="36"/>
      <c r="AC173" s="38"/>
      <c r="AD173" s="38"/>
      <c r="AE173" s="39"/>
    </row>
    <row r="174" spans="1:31" s="40" customFormat="1" ht="39" customHeight="1" x14ac:dyDescent="0.3">
      <c r="A174" s="94">
        <v>62</v>
      </c>
      <c r="B174" s="53" t="s">
        <v>172</v>
      </c>
      <c r="C174" s="53" t="s">
        <v>328</v>
      </c>
      <c r="D174" s="94">
        <v>0.86829000000000001</v>
      </c>
      <c r="E174" s="94">
        <v>0.86829000000000001</v>
      </c>
      <c r="F174" s="123" t="s">
        <v>157</v>
      </c>
      <c r="G174" s="123" t="s">
        <v>329</v>
      </c>
      <c r="H174" s="124">
        <v>200</v>
      </c>
      <c r="I174" s="125">
        <v>1015900</v>
      </c>
      <c r="J174" s="126" t="s">
        <v>148</v>
      </c>
      <c r="K174" s="127" t="s">
        <v>153</v>
      </c>
      <c r="L174" s="55">
        <v>2031800</v>
      </c>
      <c r="M174" s="94"/>
      <c r="N174" s="55"/>
      <c r="O174" s="53"/>
      <c r="P174" s="127">
        <v>45653</v>
      </c>
      <c r="Q174" s="94"/>
      <c r="R174" s="52">
        <v>5586000</v>
      </c>
      <c r="S174" s="54"/>
      <c r="T174" s="54"/>
      <c r="U174" s="54"/>
      <c r="V174" s="55"/>
      <c r="W174" s="138"/>
      <c r="X174" s="18">
        <f>R174/L174</f>
        <v>2.7492863470814055</v>
      </c>
      <c r="Y174" s="71">
        <f>E174*10000</f>
        <v>8682.9</v>
      </c>
      <c r="Z174" s="55">
        <f>L174</f>
        <v>2031800</v>
      </c>
      <c r="AA174" s="55">
        <f t="shared" si="35"/>
        <v>234.00016123645327</v>
      </c>
      <c r="AB174" s="54">
        <f t="shared" si="36"/>
        <v>8682.9</v>
      </c>
      <c r="AC174" s="57">
        <f>R174</f>
        <v>5586000</v>
      </c>
      <c r="AD174" s="57">
        <f t="shared" si="37"/>
        <v>643.33344850222852</v>
      </c>
      <c r="AE174" s="58">
        <f t="shared" si="33"/>
        <v>2.7492863470814055</v>
      </c>
    </row>
    <row r="175" spans="1:31" s="40" customFormat="1" ht="39" customHeight="1" x14ac:dyDescent="0.3">
      <c r="A175" s="60">
        <v>63</v>
      </c>
      <c r="B175" s="80" t="s">
        <v>32</v>
      </c>
      <c r="C175" s="80" t="s">
        <v>330</v>
      </c>
      <c r="D175" s="60" t="s">
        <v>331</v>
      </c>
      <c r="E175" s="60">
        <v>0.62344999999999995</v>
      </c>
      <c r="F175" s="90" t="s">
        <v>157</v>
      </c>
      <c r="G175" s="90" t="s">
        <v>332</v>
      </c>
      <c r="H175" s="91">
        <v>200</v>
      </c>
      <c r="I175" s="92">
        <v>1027521</v>
      </c>
      <c r="J175" s="81" t="s">
        <v>148</v>
      </c>
      <c r="K175" s="81" t="s">
        <v>333</v>
      </c>
      <c r="L175" s="37">
        <v>2055042</v>
      </c>
      <c r="M175" s="79"/>
      <c r="N175" s="102"/>
      <c r="O175" s="74"/>
      <c r="P175" s="81"/>
      <c r="Q175" s="74"/>
      <c r="R175" s="63"/>
      <c r="S175" s="36"/>
      <c r="T175" s="36"/>
      <c r="U175" s="36"/>
      <c r="V175" s="37"/>
      <c r="W175" s="139"/>
      <c r="X175" s="64"/>
      <c r="Y175" s="73">
        <f>E175*10000</f>
        <v>6234.4999999999991</v>
      </c>
      <c r="Z175" s="37">
        <f>L175</f>
        <v>2055042</v>
      </c>
      <c r="AA175" s="37">
        <f t="shared" si="35"/>
        <v>329.62418798620581</v>
      </c>
      <c r="AB175" s="36">
        <f>SUM(Q177)*10000</f>
        <v>4619</v>
      </c>
      <c r="AC175" s="38">
        <f>SUM(R177)</f>
        <v>1580000</v>
      </c>
      <c r="AD175" s="38">
        <f t="shared" si="37"/>
        <v>342.06538211734141</v>
      </c>
      <c r="AE175" s="39">
        <f t="shared" si="33"/>
        <v>1.0377435715720482</v>
      </c>
    </row>
    <row r="176" spans="1:31" s="40" customFormat="1" ht="16.95" customHeight="1" x14ac:dyDescent="0.3">
      <c r="A176" s="60"/>
      <c r="B176" s="80"/>
      <c r="C176" s="80"/>
      <c r="D176" s="60"/>
      <c r="E176" s="60"/>
      <c r="F176" s="90"/>
      <c r="G176" s="90"/>
      <c r="H176" s="91"/>
      <c r="I176" s="92"/>
      <c r="J176" s="81"/>
      <c r="K176" s="81"/>
      <c r="L176" s="37"/>
      <c r="M176" s="79">
        <v>180</v>
      </c>
      <c r="N176" s="102">
        <f>M176*Q176*10000</f>
        <v>290790</v>
      </c>
      <c r="O176" s="74" t="s">
        <v>334</v>
      </c>
      <c r="P176" s="81"/>
      <c r="Q176" s="74">
        <v>0.16155</v>
      </c>
      <c r="R176" s="63">
        <v>0</v>
      </c>
      <c r="S176" s="36"/>
      <c r="T176" s="36"/>
      <c r="U176" s="36"/>
      <c r="V176" s="37"/>
      <c r="W176" s="139"/>
      <c r="X176" s="64"/>
      <c r="Y176" s="73"/>
      <c r="Z176" s="37"/>
      <c r="AA176" s="37"/>
      <c r="AB176" s="36"/>
      <c r="AC176" s="38"/>
      <c r="AD176" s="38"/>
      <c r="AE176" s="39"/>
    </row>
    <row r="177" spans="1:31" s="40" customFormat="1" ht="16.95" customHeight="1" x14ac:dyDescent="0.3">
      <c r="A177" s="60"/>
      <c r="B177" s="80"/>
      <c r="C177" s="80"/>
      <c r="D177" s="60"/>
      <c r="E177" s="60"/>
      <c r="F177" s="90"/>
      <c r="G177" s="90"/>
      <c r="H177" s="91"/>
      <c r="I177" s="92"/>
      <c r="J177" s="81"/>
      <c r="K177" s="81"/>
      <c r="L177" s="37"/>
      <c r="M177" s="79">
        <v>159.5</v>
      </c>
      <c r="N177" s="102">
        <f>M177*Q177*10000</f>
        <v>736730.49999999988</v>
      </c>
      <c r="O177" s="74" t="s">
        <v>335</v>
      </c>
      <c r="P177" s="81" t="s">
        <v>336</v>
      </c>
      <c r="Q177" s="74">
        <v>0.46189999999999998</v>
      </c>
      <c r="R177" s="63">
        <v>1580000</v>
      </c>
      <c r="S177" s="36"/>
      <c r="T177" s="36"/>
      <c r="U177" s="36"/>
      <c r="V177" s="37"/>
      <c r="W177" s="139"/>
      <c r="X177" s="35">
        <f>R177/((Q177/SUM(Q176:Q177))*L175)</f>
        <v>1.0377435715720482</v>
      </c>
      <c r="Y177" s="73"/>
      <c r="Z177" s="37"/>
      <c r="AA177" s="37"/>
      <c r="AB177" s="36"/>
      <c r="AC177" s="38"/>
      <c r="AD177" s="38"/>
      <c r="AE177" s="39"/>
    </row>
    <row r="178" spans="1:31" s="40" customFormat="1" ht="82.2" customHeight="1" x14ac:dyDescent="0.3">
      <c r="A178" s="94">
        <v>64</v>
      </c>
      <c r="B178" s="53" t="s">
        <v>337</v>
      </c>
      <c r="C178" s="53" t="s">
        <v>338</v>
      </c>
      <c r="D178" s="94" t="s">
        <v>339</v>
      </c>
      <c r="E178" s="94">
        <v>0.83016000000000001</v>
      </c>
      <c r="F178" s="123" t="s">
        <v>157</v>
      </c>
      <c r="G178" s="123" t="s">
        <v>340</v>
      </c>
      <c r="H178" s="124">
        <v>200</v>
      </c>
      <c r="I178" s="125">
        <v>321358</v>
      </c>
      <c r="J178" s="126" t="s">
        <v>148</v>
      </c>
      <c r="K178" s="127" t="s">
        <v>341</v>
      </c>
      <c r="L178" s="55">
        <v>642715</v>
      </c>
      <c r="M178" s="94"/>
      <c r="N178" s="55"/>
      <c r="O178" s="53"/>
      <c r="P178" s="127"/>
      <c r="Q178" s="94"/>
      <c r="R178" s="52"/>
      <c r="S178" s="54"/>
      <c r="T178" s="54"/>
      <c r="U178" s="54"/>
      <c r="V178" s="55"/>
      <c r="W178" s="138"/>
      <c r="X178" s="78"/>
      <c r="Y178" s="71">
        <f>E178*10000</f>
        <v>8301.6</v>
      </c>
      <c r="Z178" s="55">
        <f>L178</f>
        <v>642715</v>
      </c>
      <c r="AA178" s="55">
        <f t="shared" si="35"/>
        <v>77.420617712248244</v>
      </c>
      <c r="AB178" s="54">
        <f>SUM(Q179:Q181,Q184)*10000</f>
        <v>6275.6</v>
      </c>
      <c r="AC178" s="57">
        <f>SUM(R179:R181,R184)</f>
        <v>1660000</v>
      </c>
      <c r="AD178" s="57">
        <f t="shared" si="37"/>
        <v>264.51654025113135</v>
      </c>
      <c r="AE178" s="58">
        <f t="shared" si="33"/>
        <v>3.4166162460014031</v>
      </c>
    </row>
    <row r="179" spans="1:31" s="40" customFormat="1" ht="19.2" customHeight="1" x14ac:dyDescent="0.3">
      <c r="A179" s="94"/>
      <c r="B179" s="53"/>
      <c r="C179" s="53"/>
      <c r="D179" s="94"/>
      <c r="E179" s="94"/>
      <c r="F179" s="123"/>
      <c r="G179" s="123"/>
      <c r="H179" s="124"/>
      <c r="I179" s="125"/>
      <c r="J179" s="126"/>
      <c r="K179" s="127"/>
      <c r="L179" s="55"/>
      <c r="M179" s="94">
        <v>6.75</v>
      </c>
      <c r="N179" s="55">
        <f>M179*Q179*10000</f>
        <v>8099.9999999999991</v>
      </c>
      <c r="O179" s="53" t="s">
        <v>342</v>
      </c>
      <c r="P179" s="127" t="s">
        <v>343</v>
      </c>
      <c r="Q179" s="94">
        <v>0.12</v>
      </c>
      <c r="R179" s="52">
        <v>480000</v>
      </c>
      <c r="S179" s="54"/>
      <c r="T179" s="54"/>
      <c r="U179" s="54"/>
      <c r="V179" s="55"/>
      <c r="W179" s="138"/>
      <c r="X179" s="18">
        <f t="shared" ref="X179:X184" si="43">R179/((Q179/SUM($Q$179:$Q$184))*$L$178)</f>
        <v>5.1665823887726283</v>
      </c>
      <c r="Y179" s="71"/>
      <c r="Z179" s="55"/>
      <c r="AA179" s="55"/>
      <c r="AB179" s="54"/>
      <c r="AC179" s="57"/>
      <c r="AD179" s="57"/>
      <c r="AE179" s="58"/>
    </row>
    <row r="180" spans="1:31" s="40" customFormat="1" ht="19.2" customHeight="1" x14ac:dyDescent="0.3">
      <c r="A180" s="94"/>
      <c r="B180" s="53"/>
      <c r="C180" s="53"/>
      <c r="D180" s="94"/>
      <c r="E180" s="94"/>
      <c r="F180" s="123"/>
      <c r="G180" s="123"/>
      <c r="H180" s="124"/>
      <c r="I180" s="125"/>
      <c r="J180" s="126"/>
      <c r="K180" s="127"/>
      <c r="L180" s="55"/>
      <c r="M180" s="94">
        <v>6.75</v>
      </c>
      <c r="N180" s="55">
        <f t="shared" ref="N180:N184" si="44">M180*Q180*10000</f>
        <v>8099.9999999999991</v>
      </c>
      <c r="O180" s="53" t="s">
        <v>344</v>
      </c>
      <c r="P180" s="127" t="s">
        <v>343</v>
      </c>
      <c r="Q180" s="94">
        <v>0.12</v>
      </c>
      <c r="R180" s="52">
        <v>480000</v>
      </c>
      <c r="S180" s="54"/>
      <c r="T180" s="54"/>
      <c r="U180" s="54"/>
      <c r="V180" s="55"/>
      <c r="W180" s="138"/>
      <c r="X180" s="18">
        <f t="shared" si="43"/>
        <v>5.1665823887726283</v>
      </c>
      <c r="Y180" s="71"/>
      <c r="Z180" s="55"/>
      <c r="AA180" s="55"/>
      <c r="AB180" s="54"/>
      <c r="AC180" s="57"/>
      <c r="AD180" s="57"/>
      <c r="AE180" s="58"/>
    </row>
    <row r="181" spans="1:31" s="40" customFormat="1" ht="19.2" customHeight="1" x14ac:dyDescent="0.3">
      <c r="A181" s="94"/>
      <c r="B181" s="53"/>
      <c r="C181" s="53"/>
      <c r="D181" s="94"/>
      <c r="E181" s="94"/>
      <c r="F181" s="123"/>
      <c r="G181" s="123"/>
      <c r="H181" s="124"/>
      <c r="I181" s="125"/>
      <c r="J181" s="126"/>
      <c r="K181" s="127"/>
      <c r="L181" s="55"/>
      <c r="M181" s="94">
        <v>118.5</v>
      </c>
      <c r="N181" s="55">
        <f t="shared" si="44"/>
        <v>239559.6</v>
      </c>
      <c r="O181" s="53" t="s">
        <v>345</v>
      </c>
      <c r="P181" s="127" t="s">
        <v>346</v>
      </c>
      <c r="Q181" s="94">
        <v>0.20216000000000001</v>
      </c>
      <c r="R181" s="52">
        <v>400000</v>
      </c>
      <c r="S181" s="54"/>
      <c r="T181" s="54" t="s">
        <v>347</v>
      </c>
      <c r="U181" s="54"/>
      <c r="V181" s="55">
        <v>300000</v>
      </c>
      <c r="W181" s="138"/>
      <c r="X181" s="18">
        <f t="shared" si="43"/>
        <v>2.5556897451388152</v>
      </c>
      <c r="Y181" s="71"/>
      <c r="Z181" s="55"/>
      <c r="AA181" s="55"/>
      <c r="AB181" s="54"/>
      <c r="AC181" s="57"/>
      <c r="AD181" s="57"/>
      <c r="AE181" s="58"/>
    </row>
    <row r="182" spans="1:31" s="40" customFormat="1" ht="19.2" customHeight="1" x14ac:dyDescent="0.3">
      <c r="A182" s="94"/>
      <c r="B182" s="53"/>
      <c r="C182" s="53"/>
      <c r="D182" s="94"/>
      <c r="E182" s="94"/>
      <c r="F182" s="123"/>
      <c r="G182" s="123"/>
      <c r="H182" s="124"/>
      <c r="I182" s="125"/>
      <c r="J182" s="126"/>
      <c r="K182" s="127"/>
      <c r="L182" s="55"/>
      <c r="M182" s="94">
        <v>6.75</v>
      </c>
      <c r="N182" s="55">
        <f t="shared" si="44"/>
        <v>10435.5</v>
      </c>
      <c r="O182" s="53" t="s">
        <v>348</v>
      </c>
      <c r="P182" s="127"/>
      <c r="Q182" s="94">
        <v>0.15459999999999999</v>
      </c>
      <c r="R182" s="52">
        <v>0</v>
      </c>
      <c r="S182" s="54"/>
      <c r="T182" s="54"/>
      <c r="U182" s="54"/>
      <c r="V182" s="55"/>
      <c r="W182" s="138"/>
      <c r="X182" s="18">
        <f t="shared" si="43"/>
        <v>0</v>
      </c>
      <c r="Y182" s="71"/>
      <c r="Z182" s="55"/>
      <c r="AA182" s="55"/>
      <c r="AB182" s="54"/>
      <c r="AC182" s="57"/>
      <c r="AD182" s="57"/>
      <c r="AE182" s="58"/>
    </row>
    <row r="183" spans="1:31" s="40" customFormat="1" ht="19.2" customHeight="1" x14ac:dyDescent="0.3">
      <c r="A183" s="94"/>
      <c r="B183" s="53"/>
      <c r="C183" s="53"/>
      <c r="D183" s="94"/>
      <c r="E183" s="94"/>
      <c r="F183" s="123"/>
      <c r="G183" s="123"/>
      <c r="H183" s="124"/>
      <c r="I183" s="125"/>
      <c r="J183" s="126"/>
      <c r="K183" s="127"/>
      <c r="L183" s="55"/>
      <c r="M183" s="94">
        <v>6.75</v>
      </c>
      <c r="N183" s="55">
        <f t="shared" si="44"/>
        <v>3240</v>
      </c>
      <c r="O183" s="53" t="s">
        <v>349</v>
      </c>
      <c r="P183" s="127"/>
      <c r="Q183" s="94">
        <v>4.8000000000000001E-2</v>
      </c>
      <c r="R183" s="52">
        <v>0</v>
      </c>
      <c r="S183" s="54"/>
      <c r="T183" s="54"/>
      <c r="U183" s="54"/>
      <c r="V183" s="55"/>
      <c r="W183" s="138"/>
      <c r="X183" s="18">
        <f t="shared" si="43"/>
        <v>0</v>
      </c>
      <c r="Y183" s="71"/>
      <c r="Z183" s="55"/>
      <c r="AA183" s="55"/>
      <c r="AB183" s="54"/>
      <c r="AC183" s="57"/>
      <c r="AD183" s="57"/>
      <c r="AE183" s="58"/>
    </row>
    <row r="184" spans="1:31" s="40" customFormat="1" ht="19.2" customHeight="1" x14ac:dyDescent="0.3">
      <c r="A184" s="94"/>
      <c r="B184" s="53"/>
      <c r="C184" s="53"/>
      <c r="D184" s="94"/>
      <c r="E184" s="94"/>
      <c r="F184" s="123"/>
      <c r="G184" s="123"/>
      <c r="H184" s="124"/>
      <c r="I184" s="125"/>
      <c r="J184" s="126"/>
      <c r="K184" s="127"/>
      <c r="L184" s="55"/>
      <c r="M184" s="94">
        <v>28</v>
      </c>
      <c r="N184" s="55">
        <f t="shared" si="44"/>
        <v>51912</v>
      </c>
      <c r="O184" s="53" t="s">
        <v>350</v>
      </c>
      <c r="P184" s="127" t="s">
        <v>351</v>
      </c>
      <c r="Q184" s="94">
        <v>0.18540000000000001</v>
      </c>
      <c r="R184" s="52">
        <v>300000</v>
      </c>
      <c r="S184" s="54"/>
      <c r="T184" s="54"/>
      <c r="U184" s="54"/>
      <c r="V184" s="55"/>
      <c r="W184" s="138"/>
      <c r="X184" s="18">
        <f t="shared" si="43"/>
        <v>2.0900414194064028</v>
      </c>
      <c r="Y184" s="71"/>
      <c r="Z184" s="55"/>
      <c r="AA184" s="55"/>
      <c r="AB184" s="54"/>
      <c r="AC184" s="57"/>
      <c r="AD184" s="57"/>
      <c r="AE184" s="58"/>
    </row>
  </sheetData>
  <autoFilter ref="A11:AE184"/>
  <mergeCells count="36">
    <mergeCell ref="R156:R157"/>
    <mergeCell ref="W156:W157"/>
    <mergeCell ref="X156:X157"/>
    <mergeCell ref="X10:X11"/>
    <mergeCell ref="Y10:AA10"/>
    <mergeCell ref="O10:R10"/>
    <mergeCell ref="S10:V10"/>
    <mergeCell ref="P135:P136"/>
    <mergeCell ref="R135:R136"/>
    <mergeCell ref="T135:T136"/>
    <mergeCell ref="V135:V136"/>
    <mergeCell ref="W135:W136"/>
    <mergeCell ref="W10:W11"/>
    <mergeCell ref="I10:I11"/>
    <mergeCell ref="K10:K11"/>
    <mergeCell ref="L10:L11"/>
    <mergeCell ref="M10:M11"/>
    <mergeCell ref="A2:AE2"/>
    <mergeCell ref="AB10:AD10"/>
    <mergeCell ref="AE10:AE11"/>
    <mergeCell ref="D5:H5"/>
    <mergeCell ref="A1:P1"/>
    <mergeCell ref="X9:AE9"/>
    <mergeCell ref="A10:A11"/>
    <mergeCell ref="B10:B11"/>
    <mergeCell ref="C10:C11"/>
    <mergeCell ref="D10:D11"/>
    <mergeCell ref="J10:J11"/>
    <mergeCell ref="D6:H6"/>
    <mergeCell ref="D7:H7"/>
    <mergeCell ref="A9:L9"/>
    <mergeCell ref="M9:W9"/>
    <mergeCell ref="E10:E11"/>
    <mergeCell ref="F10:F11"/>
    <mergeCell ref="G10:G11"/>
    <mergeCell ref="H10:H11"/>
  </mergeCells>
  <conditionalFormatting sqref="AE12:AE184">
    <cfRule type="top10" dxfId="3" priority="1" rank="10"/>
    <cfRule type="cellIs" dxfId="2" priority="2" operator="greaterThan">
      <formula>1</formula>
    </cfRule>
    <cfRule type="cellIs" dxfId="1" priority="3" operator="equal">
      <formula>1</formula>
    </cfRule>
    <cfRule type="cellIs" dxfId="0" priority="4" operator="between">
      <formula>0.01</formula>
      <formula>0.99</formula>
    </cfRule>
  </conditionalFormatting>
  <pageMargins left="0" right="0" top="0" bottom="0" header="0" footer="0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Հաշվետվության հավելված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Akbalyan</dc:creator>
  <cp:lastModifiedBy>Anna Akbalyan</cp:lastModifiedBy>
  <dcterms:created xsi:type="dcterms:W3CDTF">2025-11-25T12:26:16Z</dcterms:created>
  <dcterms:modified xsi:type="dcterms:W3CDTF">2026-01-21T10:35:43Z</dcterms:modified>
</cp:coreProperties>
</file>